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supostos" sheetId="1" state="visible" r:id="rId3"/>
    <sheet name="BaseCatB" sheetId="2" state="visible" r:id="rId4"/>
    <sheet name="Modelo" sheetId="3" state="visible" r:id="rId5"/>
    <sheet name="Resumo" sheetId="4" state="visible" r:id="rId6"/>
    <sheet name="LeiaM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<sst xmlns="http://schemas.openxmlformats.org/spreadsheetml/2006/main" count="168" uniqueCount="121">
  <si>
    <t xml:space="preserve">Pressupostos do modelo (células azuis sobre fundo amarelo = editáveis)</t>
  </si>
  <si>
    <t xml:space="preserve">Três cenários: Pessimista / Central / Otimista. Fontes na folha LeiaMe.</t>
  </si>
  <si>
    <t xml:space="preserve">PARÂMETROS FISCAIS 2026</t>
  </si>
  <si>
    <t xml:space="preserve">IAS 2026 (€)</t>
  </si>
  <si>
    <t xml:space="preserve">Taxa contributiva Seg. Social TI</t>
  </si>
  <si>
    <t xml:space="preserve">Base de incidência SS (% do bruto)</t>
  </si>
  <si>
    <t xml:space="preserve">Teto anual da base SS (12×12×IAS) (€)</t>
  </si>
  <si>
    <t xml:space="preserve">Coeficiente regime simplificado (serviços)</t>
  </si>
  <si>
    <t xml:space="preserve">Taxa Categoria I</t>
  </si>
  <si>
    <t xml:space="preserve">Deduções à coleta médias perdidas ao optar (€/ano)</t>
  </si>
  <si>
    <t xml:space="preserve">Taxa SS efetiva s/ rendimento formalizado (mix abaixo/acima do teto)</t>
  </si>
  <si>
    <t xml:space="preserve">CENÁRIOS</t>
  </si>
  <si>
    <t xml:space="preserve">Pessimista</t>
  </si>
  <si>
    <t xml:space="preserve">Central</t>
  </si>
  <si>
    <t xml:space="preserve">Otimista</t>
  </si>
  <si>
    <t xml:space="preserve">Formalização: % adicional declarado pelos optantes (âncora: economia paralela ~35% do PIB)</t>
  </si>
  <si>
    <t xml:space="preserve">Unipessoais ativas (stock)</t>
  </si>
  <si>
    <t xml:space="preserve">% que são 'envelopes' de trabalho individual (serviços)</t>
  </si>
  <si>
    <t xml:space="preserve">% dessas que convertem para Categoria I</t>
  </si>
  <si>
    <t xml:space="preserve">Ganho líquido p/ Estado por conversão (€/ano)</t>
  </si>
  <si>
    <t xml:space="preserve">Emigrantes qualificados/ano que deixam de partir (retenção)</t>
  </si>
  <si>
    <t xml:space="preserve">% retidos pela Categoria I</t>
  </si>
  <si>
    <t xml:space="preserve">Retido/regressado — IRS por pessoa (€/ano, rend. médio ~35 k€)</t>
  </si>
  <si>
    <t xml:space="preserve">Retido/regressado — SS por pessoa (21,4% s/ 70%) (€/ano)</t>
  </si>
  <si>
    <t xml:space="preserve">Retido/regressado — IVA do consumo por pessoa (€/ano)</t>
  </si>
  <si>
    <t xml:space="preserve">Emigrantes que regressam/ano atraídos pelo regime</t>
  </si>
  <si>
    <t xml:space="preserve">Novos residentes atraídos/ano que NÃO viriam de outra forma</t>
  </si>
  <si>
    <t xml:space="preserve">Atraído — IRS por pessoa (€/ano, rend. médio ~60 k€)</t>
  </si>
  <si>
    <t xml:space="preserve">Atraído — SS por pessoa (60% contribuem em PT) (€/ano)</t>
  </si>
  <si>
    <t xml:space="preserve">Atraído — IVA do consumo por pessoa (€/ano)</t>
  </si>
  <si>
    <t xml:space="preserve">Churn anual dos atraídos</t>
  </si>
  <si>
    <t xml:space="preserve">Beneficiários/ano desviados do IFICI e vistos especiais p/ Cat. I (viriam de qualquer forma)</t>
  </si>
  <si>
    <t xml:space="preserve">Desviado — ΔIRS por pessoa (12,5% s/ tudo vs 20% + isenções; rend. ~120 k€)</t>
  </si>
  <si>
    <t xml:space="preserve">Desviado — ΔSS por pessoa (passam a contribuir em PT; teto 12×IAS)</t>
  </si>
  <si>
    <t xml:space="preserve">IVA recuperado s/ a poupança devolvida aos optantes (% da perda estática)</t>
  </si>
  <si>
    <t xml:space="preserve">Poupança administrativa do fim dos programas p/ não residentes (€/ano)</t>
  </si>
  <si>
    <t xml:space="preserve">Poupança administrativa AT por optante (€/ano)</t>
  </si>
  <si>
    <t xml:space="preserve">FASEAMENTO DA ADESÃO (% do regime cruzeiro)</t>
  </si>
  <si>
    <t xml:space="preserve">Ano 1</t>
  </si>
  <si>
    <t xml:space="preserve">Ano 2</t>
  </si>
  <si>
    <t xml:space="preserve">Ano 3</t>
  </si>
  <si>
    <t xml:space="preserve">Ano 4</t>
  </si>
  <si>
    <t xml:space="preserve">Ano 5</t>
  </si>
  <si>
    <t xml:space="preserve">CONTEXTO</t>
  </si>
  <si>
    <t xml:space="preserve">Receita total de IRS prevista no OE2026 (M€)</t>
  </si>
  <si>
    <t xml:space="preserve">Despesa fiscal do antigo RNH em 2024 (M€)</t>
  </si>
  <si>
    <t xml:space="preserve">Notas: sem dupla contagem — 'atraídos' = quem só vem por causa da Cat. I; 'desviados do IFICI' = quem viria de qualquer forma e muda de regime.</t>
  </si>
  <si>
    <t xml:space="preserve">RNH existentes mantêm direitos adquiridos até ao fim dos 10 anos (extinção só para novas entradas). Estimativa ilustrativa — não é previsão oficial.</t>
  </si>
  <si>
    <t xml:space="preserve">Base atual da Categoria B e adesão à Categoria I</t>
  </si>
  <si>
    <t xml:space="preserve">Distribuição editável calibrada para ~773 mil trabalhadores por conta própria (INE 2025). Escalões de IRS de 2026.</t>
  </si>
  <si>
    <t xml:space="preserve">Limiar (€)</t>
  </si>
  <si>
    <t xml:space="preserve">Δtaxa</t>
  </si>
  <si>
    <t xml:space="preserve">Escalão de rendimento</t>
  </si>
  <si>
    <t xml:space="preserve">N.º contribuintes</t>
  </si>
  <si>
    <t xml:space="preserve">Rend. médio (€)</t>
  </si>
  <si>
    <t xml:space="preserve">Coletável (0,75)</t>
  </si>
  <si>
    <t xml:space="preserve">SS/ano (€)</t>
  </si>
  <si>
    <t xml:space="preserve">IRS bruto atual (€)</t>
  </si>
  <si>
    <t xml:space="preserve">Fator ME</t>
  </si>
  <si>
    <t xml:space="preserve">IRS líquido atual (€)</t>
  </si>
  <si>
    <t xml:space="preserve">IRS Cat. I (€)</t>
  </si>
  <si>
    <t xml:space="preserve">Perda Estado/optante (€)</t>
  </si>
  <si>
    <t xml:space="preserve">Adesão Pess.</t>
  </si>
  <si>
    <t xml:space="preserve">Adesão Cent.</t>
  </si>
  <si>
    <t xml:space="preserve">Adesão Otim.</t>
  </si>
  <si>
    <t xml:space="preserve">Optantes P</t>
  </si>
  <si>
    <t xml:space="preserve">Optantes C</t>
  </si>
  <si>
    <t xml:space="preserve">Optantes O</t>
  </si>
  <si>
    <t xml:space="preserve">Perda P (€)</t>
  </si>
  <si>
    <t xml:space="preserve">Perda C (€)</t>
  </si>
  <si>
    <t xml:space="preserve">Perda O (€)</t>
  </si>
  <si>
    <t xml:space="preserve">até 10 k€</t>
  </si>
  <si>
    <t xml:space="preserve">10–20 k€</t>
  </si>
  <si>
    <t xml:space="preserve">20–30 k€</t>
  </si>
  <si>
    <t xml:space="preserve">30–50 k€</t>
  </si>
  <si>
    <t xml:space="preserve">50–80 k€</t>
  </si>
  <si>
    <t xml:space="preserve">80–120 k€</t>
  </si>
  <si>
    <t xml:space="preserve">120–200 k€</t>
  </si>
  <si>
    <t xml:space="preserve">mais de 200 k€</t>
  </si>
  <si>
    <t xml:space="preserve">TOTAL</t>
  </si>
  <si>
    <t xml:space="preserve">Rendimento bruto dos optantes (€):</t>
  </si>
  <si>
    <t xml:space="preserve">Inclui taxa adicional de solidariedade.</t>
  </si>
  <si>
    <t xml:space="preserve">Nota: 'Fator ME' aproxima o mínimo de existência/deduções que anulam o IRS nos rendimentos baixos. Perda negativa = ganho do Estado (optantes por simplicidade).</t>
  </si>
  <si>
    <t xml:space="preserve">Impacto orçamental anual por componente (€)</t>
  </si>
  <si>
    <t xml:space="preserve">Positivo = ganho para o Estado. Inclui a substituição integral dos programas para não residentes (IFICI e vistos especiais) pela Categoria I.</t>
  </si>
  <si>
    <t xml:space="preserve">CENÁRIO PESSIMISTA</t>
  </si>
  <si>
    <t xml:space="preserve">Perda estática na base atual (optantes pagam menos)</t>
  </si>
  <si>
    <t xml:space="preserve">Formalização — IRS 12,5% s/ rendimento hoje não declarado</t>
  </si>
  <si>
    <t xml:space="preserve">Formalização — SS adicional s/ o mesmo rendimento</t>
  </si>
  <si>
    <t xml:space="preserve">Conversão de sociedades unipessoais</t>
  </si>
  <si>
    <t xml:space="preserve">Retenção: emigrantes que deixam de partir (IRS+SS+IVA, coortes)</t>
  </si>
  <si>
    <t xml:space="preserve">Regresso de emigrantes (IRS+SS+IVA, coortes acumuladas)</t>
  </si>
  <si>
    <t xml:space="preserve">Atração de novos residentes (IRS+SS+IVA; só quem não viria)</t>
  </si>
  <si>
    <t xml:space="preserve">Substituição do IFICI/vistos: ΔIRS + ΔSS de quem viria de qualquer forma</t>
  </si>
  <si>
    <t xml:space="preserve">IVA recuperado sobre a poupança devolvida aos optantes</t>
  </si>
  <si>
    <t xml:space="preserve">Fim dos custos administrativos dos programas p/ não residentes</t>
  </si>
  <si>
    <t xml:space="preserve">Poupança administrativa da AT (simplicidade da Cat. I)</t>
  </si>
  <si>
    <t xml:space="preserve">IMPACTO LÍQUIDO</t>
  </si>
  <si>
    <t xml:space="preserve">CENÁRIO CENTRAL</t>
  </si>
  <si>
    <t xml:space="preserve">CENÁRIO OTIMISTA</t>
  </si>
  <si>
    <t xml:space="preserve">Resumo — impacto líquido anual para o Estado (M€)</t>
  </si>
  <si>
    <t xml:space="preserve">Programa completo: Categoria I substitui integralmente o IFICI e os vistos fiscais especiais.</t>
  </si>
  <si>
    <t xml:space="preserve">Cenário</t>
  </si>
  <si>
    <t xml:space="preserve">Contexto:</t>
  </si>
  <si>
    <t xml:space="preserve">Perda estática (Central, cruzeiro) em % da receita total de IRS:</t>
  </si>
  <si>
    <t xml:space="preserve">Custo do antigo RNH em 2024 (só não residentes):</t>
  </si>
  <si>
    <t xml:space="preserve">Pior ano do cenário Pessimista em % do custo do RNH:</t>
  </si>
  <si>
    <t xml:space="preserve">Como usar este modelo (v2 — programa completo)</t>
  </si>
  <si>
    <t xml:space="preserve">O QUE É: cenários do impacto orçamental da Categoria I (IRS fixo de 12,5% p/ trabalho independente), assumindo que ela SUBSTITUI</t>
  </si>
  <si>
    <t xml:space="preserve">integralmente os programas fiscais para não residentes (IFICI) e vistos especiais — um único regime universal, igual para todos.</t>
  </si>
  <si>
    <t xml:space="preserve">COMO USAR: altere apenas as células azuis sobre fundo amarelo (Pressupostos e BaseCatB). Tudo o resto recalcula.</t>
  </si>
  <si>
    <t xml:space="preserve">COMPONENTES: (1) perda estática; (2)+(3) formalização IRS e SS — âncora: economia não registada ≈35% do PIB (OBEGEF/U.Porto);</t>
  </si>
  <si>
    <t xml:space="preserve">(4) conversão de unipessoais; (5) retenção de quem deixaria o país; (6) regresso de emigrantes; (7) atração de novos residentes (IRS+SS+IVA);</t>
  </si>
  <si>
    <t xml:space="preserve">(8) substituição do IFICI/vistos — quem viria de qualquer forma passa a pagar 12,5% sobre TODO o rendimento em vez de 20% +</t>
  </si>
  <si>
    <t xml:space="preserve">isenções sobre rendimento estrangeiro; (9) fim dos custos administrativos desses programas; (10) poupança administrativa da AT; (11) IVA sobre a poupança devolvida aos optantes. IVA: só para pessoas incrementais (retidos/regressados/atraídos) — os desviados do IFICI já cá consumiriam.</t>
  </si>
  <si>
    <t xml:space="preserve">SEM DUPLA CONTAGEM: a linha (7) conta apenas quem só vem por causa da Cat. I; a linha (8) conta quem viria de qualquer forma.</t>
  </si>
  <si>
    <t xml:space="preserve">DIREITOS ADQUIRIDOS: os RNH existentes mantêm o regime até ao fim dos 10 anos; a extinção aplica-se só a novas entradas.</t>
  </si>
  <si>
    <t xml:space="preserve">ÂNCORAS E FONTES: IRS OE2026 19.495 M€ (RR); RNH custou 1.700 M€ em 2024 (ECO); 773 mil TCP (INE/idealista); economia paralela</t>
  </si>
  <si>
    <t xml:space="preserve">~35% do PIB (OBEGEF, CNN Portugal/U.Porto, 2023); escalões 2026 (Lei 73-A/2025); SS TI 21,4%/70%, teto 12×IAS (IAS 537,13€);</t>
  </si>
  <si>
    <t xml:space="preserve">IFICI 20% (PwC); ~200 vistos D8 nos primeiros 2,5 meses (Público, 2023).</t>
  </si>
  <si>
    <t xml:space="preserve">AVISO: estimativa ilustrativa para debate público — não é previsão oficial.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</si>
</sst>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&quot; €&quot;"/>
    <numFmt numFmtId="166" formatCode="0.0%"/>
    <numFmt numFmtId="167" formatCode="0.00"/>
    <numFmt numFmtId="168" formatCode="#,##0"/>
    <numFmt numFmtId="169" formatCode="0%"/>
    <numFmt numFmtId="170" formatCode="#,##0&quot; M€ brutos&quot;"/>
    <numFmt numFmtId="171" formatCode="#,##0,,&quot; M€&quot;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EEF2F8"/>
      </patternFill>
    </fill>
    <fill>
      <patternFill patternType="solid">
        <fgColor rgb="FFEEF2F8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F2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2"/>
    <col collapsed="false" customWidth="true" hidden="false" outlineLevel="0" max="5" min="2" style="0" width="13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v>537.13</v>
      </c>
    </row>
    <row r="6" customFormat="false" ht="15" hidden="false" customHeight="false" outlineLevel="0" collapsed="false">
      <c r="A6" s="4" t="s">
        <v>4</v>
      </c>
      <c r="B6" s="6" t="n">
        <v>0.214</v>
      </c>
    </row>
    <row r="7" customFormat="false" ht="15" hidden="false" customHeight="false" outlineLevel="0" collapsed="false">
      <c r="A7" s="4" t="s">
        <v>5</v>
      </c>
      <c r="B7" s="6" t="n">
        <v>0.7</v>
      </c>
    </row>
    <row r="8" customFormat="false" ht="15" hidden="false" customHeight="false" outlineLevel="0" collapsed="false">
      <c r="A8" s="4" t="s">
        <v>6</v>
      </c>
      <c r="B8" s="7" t="n">
        <f aca="false">12*12*B5</f>
        <v>77346.72</v>
      </c>
    </row>
    <row r="9" customFormat="false" ht="15" hidden="false" customHeight="false" outlineLevel="0" collapsed="false">
      <c r="A9" s="4" t="s">
        <v>7</v>
      </c>
      <c r="B9" s="8" t="n">
        <v>0.75</v>
      </c>
    </row>
    <row r="10" customFormat="false" ht="15" hidden="false" customHeight="false" outlineLevel="0" collapsed="false">
      <c r="A10" s="4" t="s">
        <v>8</v>
      </c>
      <c r="B10" s="6" t="n">
        <v>0.125</v>
      </c>
    </row>
    <row r="11" customFormat="false" ht="15" hidden="false" customHeight="false" outlineLevel="0" collapsed="false">
      <c r="A11" s="4" t="s">
        <v>9</v>
      </c>
      <c r="B11" s="5" t="n">
        <v>700</v>
      </c>
    </row>
    <row r="12" customFormat="false" ht="15" hidden="false" customHeight="false" outlineLevel="0" collapsed="false">
      <c r="A12" s="4" t="s">
        <v>10</v>
      </c>
      <c r="B12" s="6" t="n">
        <v>0.1</v>
      </c>
    </row>
    <row r="13" customFormat="false" ht="15" hidden="false" customHeight="false" outlineLevel="0" collapsed="false">
      <c r="A13" s="3" t="s">
        <v>11</v>
      </c>
      <c r="B13" s="9" t="s">
        <v>12</v>
      </c>
      <c r="C13" s="9" t="s">
        <v>13</v>
      </c>
      <c r="D13" s="9" t="s">
        <v>14</v>
      </c>
    </row>
    <row r="14" customFormat="false" ht="15" hidden="false" customHeight="false" outlineLevel="0" collapsed="false">
      <c r="A14" s="4" t="s">
        <v>15</v>
      </c>
      <c r="B14" s="6" t="n">
        <v>0.05</v>
      </c>
      <c r="C14" s="6" t="n">
        <v>0.13</v>
      </c>
      <c r="D14" s="6" t="n">
        <v>0.25</v>
      </c>
    </row>
    <row r="15" customFormat="false" ht="15" hidden="false" customHeight="false" outlineLevel="0" collapsed="false">
      <c r="A15" s="4" t="s">
        <v>16</v>
      </c>
      <c r="B15" s="10" t="n">
        <v>320000</v>
      </c>
    </row>
    <row r="16" customFormat="false" ht="15" hidden="false" customHeight="false" outlineLevel="0" collapsed="false">
      <c r="A16" s="4" t="s">
        <v>17</v>
      </c>
      <c r="B16" s="6" t="n">
        <v>0.4</v>
      </c>
    </row>
    <row r="17" customFormat="false" ht="15" hidden="false" customHeight="false" outlineLevel="0" collapsed="false">
      <c r="A17" s="4" t="s">
        <v>18</v>
      </c>
      <c r="B17" s="6" t="n">
        <v>0.05</v>
      </c>
      <c r="C17" s="6" t="n">
        <v>0.1</v>
      </c>
      <c r="D17" s="6" t="n">
        <v>0.2</v>
      </c>
    </row>
    <row r="18" customFormat="false" ht="15" hidden="false" customHeight="false" outlineLevel="0" collapsed="false">
      <c r="A18" s="4" t="s">
        <v>19</v>
      </c>
      <c r="B18" s="5" t="n">
        <v>-500</v>
      </c>
      <c r="C18" s="5" t="n">
        <v>500</v>
      </c>
      <c r="D18" s="5" t="n">
        <v>1500</v>
      </c>
    </row>
    <row r="19" customFormat="false" ht="15" hidden="false" customHeight="false" outlineLevel="0" collapsed="false">
      <c r="A19" s="4" t="s">
        <v>20</v>
      </c>
      <c r="B19" s="10" t="n">
        <v>20000</v>
      </c>
    </row>
    <row r="20" customFormat="false" ht="15" hidden="false" customHeight="false" outlineLevel="0" collapsed="false">
      <c r="A20" s="4" t="s">
        <v>21</v>
      </c>
      <c r="B20" s="6" t="n">
        <v>0.02</v>
      </c>
      <c r="C20" s="6" t="n">
        <v>0.05</v>
      </c>
      <c r="D20" s="6" t="n">
        <v>0.1</v>
      </c>
    </row>
    <row r="21" customFormat="false" ht="15" hidden="false" customHeight="false" outlineLevel="0" collapsed="false">
      <c r="A21" s="4" t="s">
        <v>22</v>
      </c>
      <c r="B21" s="5" t="n">
        <v>3700</v>
      </c>
    </row>
    <row r="22" customFormat="false" ht="15" hidden="false" customHeight="false" outlineLevel="0" collapsed="false">
      <c r="A22" s="4" t="s">
        <v>23</v>
      </c>
      <c r="B22" s="5" t="n">
        <v>5200</v>
      </c>
    </row>
    <row r="23" customFormat="false" ht="15" hidden="false" customHeight="false" outlineLevel="0" collapsed="false">
      <c r="A23" s="4" t="s">
        <v>24</v>
      </c>
      <c r="B23" s="5" t="n">
        <v>2000</v>
      </c>
    </row>
    <row r="24" customFormat="false" ht="15" hidden="false" customHeight="false" outlineLevel="0" collapsed="false">
      <c r="A24" s="4" t="s">
        <v>25</v>
      </c>
      <c r="B24" s="10" t="n">
        <v>500</v>
      </c>
      <c r="C24" s="10" t="n">
        <v>1000</v>
      </c>
      <c r="D24" s="10" t="n">
        <v>2000</v>
      </c>
    </row>
    <row r="25" customFormat="false" ht="15" hidden="false" customHeight="false" outlineLevel="0" collapsed="false">
      <c r="A25" s="4" t="s">
        <v>26</v>
      </c>
      <c r="B25" s="10" t="n">
        <v>2000</v>
      </c>
      <c r="C25" s="10" t="n">
        <v>6000</v>
      </c>
      <c r="D25" s="10" t="n">
        <v>15000</v>
      </c>
    </row>
    <row r="26" customFormat="false" ht="15" hidden="false" customHeight="false" outlineLevel="0" collapsed="false">
      <c r="A26" s="4" t="s">
        <v>27</v>
      </c>
      <c r="B26" s="5" t="n">
        <v>6400</v>
      </c>
    </row>
    <row r="27" customFormat="false" ht="15" hidden="false" customHeight="false" outlineLevel="0" collapsed="false">
      <c r="A27" s="4" t="s">
        <v>28</v>
      </c>
      <c r="B27" s="5" t="n">
        <v>5400</v>
      </c>
    </row>
    <row r="28" customFormat="false" ht="15" hidden="false" customHeight="false" outlineLevel="0" collapsed="false">
      <c r="A28" s="4" t="s">
        <v>29</v>
      </c>
      <c r="B28" s="5" t="n">
        <v>3500</v>
      </c>
    </row>
    <row r="29" customFormat="false" ht="15" hidden="false" customHeight="false" outlineLevel="0" collapsed="false">
      <c r="A29" s="4" t="s">
        <v>30</v>
      </c>
      <c r="B29" s="6" t="n">
        <v>0.15</v>
      </c>
    </row>
    <row r="30" customFormat="false" ht="15" hidden="false" customHeight="false" outlineLevel="0" collapsed="false">
      <c r="A30" s="4" t="s">
        <v>31</v>
      </c>
      <c r="B30" s="10" t="n">
        <v>2000</v>
      </c>
      <c r="C30" s="10" t="n">
        <v>4000</v>
      </c>
      <c r="D30" s="10" t="n">
        <v>8000</v>
      </c>
    </row>
    <row r="31" customFormat="false" ht="15" hidden="false" customHeight="false" outlineLevel="0" collapsed="false">
      <c r="A31" s="4" t="s">
        <v>32</v>
      </c>
      <c r="B31" s="5" t="n">
        <v>5000</v>
      </c>
      <c r="C31" s="5" t="n">
        <v>9000</v>
      </c>
      <c r="D31" s="5" t="n">
        <v>12000</v>
      </c>
    </row>
    <row r="32" customFormat="false" ht="15" hidden="false" customHeight="false" outlineLevel="0" collapsed="false">
      <c r="A32" s="4" t="s">
        <v>33</v>
      </c>
      <c r="B32" s="5" t="n">
        <v>3000</v>
      </c>
      <c r="C32" s="5" t="n">
        <v>6000</v>
      </c>
      <c r="D32" s="5" t="n">
        <v>9900</v>
      </c>
    </row>
    <row r="33" customFormat="false" ht="15" hidden="false" customHeight="false" outlineLevel="0" collapsed="false">
      <c r="A33" s="4" t="s">
        <v>34</v>
      </c>
      <c r="B33" s="6" t="n">
        <v>0.05</v>
      </c>
      <c r="C33" s="6" t="n">
        <v>0.09</v>
      </c>
      <c r="D33" s="6" t="n">
        <v>0.12</v>
      </c>
    </row>
    <row r="34" customFormat="false" ht="15" hidden="false" customHeight="false" outlineLevel="0" collapsed="false">
      <c r="A34" s="4" t="s">
        <v>35</v>
      </c>
      <c r="B34" s="5" t="n">
        <v>5000000</v>
      </c>
      <c r="C34" s="5" t="n">
        <v>8000000</v>
      </c>
      <c r="D34" s="5" t="n">
        <v>12000000</v>
      </c>
    </row>
    <row r="35" customFormat="false" ht="15" hidden="false" customHeight="false" outlineLevel="0" collapsed="false">
      <c r="A35" s="4" t="s">
        <v>36</v>
      </c>
      <c r="B35" s="5" t="n">
        <v>50</v>
      </c>
      <c r="C35" s="5" t="n">
        <v>100</v>
      </c>
      <c r="D35" s="5" t="n">
        <v>150</v>
      </c>
    </row>
    <row r="36" customFormat="false" ht="15" hidden="false" customHeight="false" outlineLevel="0" collapsed="false">
      <c r="A36" s="3" t="s">
        <v>37</v>
      </c>
    </row>
    <row r="37" customFormat="false" ht="15" hidden="false" customHeight="false" outlineLevel="0" collapsed="false">
      <c r="A37" s="4" t="s">
        <v>38</v>
      </c>
      <c r="B37" s="6" t="n">
        <v>0.6</v>
      </c>
    </row>
    <row r="38" customFormat="false" ht="15" hidden="false" customHeight="false" outlineLevel="0" collapsed="false">
      <c r="A38" s="4" t="s">
        <v>39</v>
      </c>
      <c r="B38" s="6" t="n">
        <v>0.85</v>
      </c>
    </row>
    <row r="39" customFormat="false" ht="15" hidden="false" customHeight="false" outlineLevel="0" collapsed="false">
      <c r="A39" s="4" t="s">
        <v>40</v>
      </c>
      <c r="B39" s="6" t="n">
        <v>1</v>
      </c>
    </row>
    <row r="40" customFormat="false" ht="15" hidden="false" customHeight="false" outlineLevel="0" collapsed="false">
      <c r="A40" s="4" t="s">
        <v>41</v>
      </c>
      <c r="B40" s="6" t="n">
        <v>1</v>
      </c>
    </row>
    <row r="41" customFormat="false" ht="15" hidden="false" customHeight="false" outlineLevel="0" collapsed="false">
      <c r="A41" s="4" t="s">
        <v>42</v>
      </c>
      <c r="B41" s="6" t="n">
        <v>1</v>
      </c>
    </row>
    <row r="42" customFormat="false" ht="15" hidden="false" customHeight="false" outlineLevel="0" collapsed="false">
      <c r="A42" s="3" t="s">
        <v>43</v>
      </c>
    </row>
    <row r="43" customFormat="false" ht="15" hidden="false" customHeight="false" outlineLevel="0" collapsed="false">
      <c r="A43" s="4" t="s">
        <v>44</v>
      </c>
      <c r="B43" s="10" t="n">
        <v>19495</v>
      </c>
    </row>
    <row r="44" customFormat="false" ht="15" hidden="false" customHeight="false" outlineLevel="0" collapsed="false">
      <c r="A44" s="4" t="s">
        <v>45</v>
      </c>
      <c r="B44" s="10" t="n">
        <v>1700</v>
      </c>
    </row>
    <row r="46" customFormat="false" ht="15" hidden="false" customHeight="false" outlineLevel="0" collapsed="false">
      <c r="A46" s="2" t="s">
        <v>46</v>
      </c>
    </row>
    <row r="47" customFormat="false" ht="15" hidden="false" customHeight="false" outlineLevel="0" collapsed="false">
      <c r="A47" s="2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2"/>
    <col collapsed="false" customWidth="true" hidden="false" outlineLevel="0" max="3" min="3" style="0" width="13"/>
    <col collapsed="false" customWidth="true" hidden="false" outlineLevel="0" max="8" min="4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3" min="11" style="0" width="10"/>
    <col collapsed="false" customWidth="true" hidden="false" outlineLevel="0" max="16" min="14" style="0" width="11"/>
    <col collapsed="false" customWidth="true" hidden="false" outlineLevel="0" max="19" min="17" style="0" width="12"/>
  </cols>
  <sheetData>
    <row r="1" customFormat="false" ht="17.35" hidden="false" customHeight="false" outlineLevel="0" collapsed="false">
      <c r="A1" s="1" t="s">
        <v>48</v>
      </c>
    </row>
    <row r="2" customFormat="false" ht="15" hidden="false" customHeight="false" outlineLevel="0" collapsed="false">
      <c r="A2" s="2" t="s">
        <v>49</v>
      </c>
    </row>
    <row r="3" customFormat="false" ht="15" hidden="false" customHeight="false" outlineLevel="0" collapsed="false">
      <c r="U3" s="9" t="s">
        <v>50</v>
      </c>
      <c r="V3" s="9" t="s">
        <v>51</v>
      </c>
    </row>
    <row r="4" customFormat="false" ht="35.05" hidden="false" customHeight="false" outlineLevel="0" collapsed="false">
      <c r="A4" s="11" t="s">
        <v>52</v>
      </c>
      <c r="B4" s="11" t="s">
        <v>53</v>
      </c>
      <c r="C4" s="11" t="s">
        <v>54</v>
      </c>
      <c r="D4" s="11" t="s">
        <v>55</v>
      </c>
      <c r="E4" s="11" t="s">
        <v>56</v>
      </c>
      <c r="F4" s="11" t="s">
        <v>57</v>
      </c>
      <c r="G4" s="11" t="s">
        <v>58</v>
      </c>
      <c r="H4" s="11" t="s">
        <v>59</v>
      </c>
      <c r="I4" s="11" t="s">
        <v>60</v>
      </c>
      <c r="J4" s="11" t="s">
        <v>61</v>
      </c>
      <c r="K4" s="11" t="s">
        <v>62</v>
      </c>
      <c r="L4" s="11" t="s">
        <v>63</v>
      </c>
      <c r="M4" s="11" t="s">
        <v>64</v>
      </c>
      <c r="N4" s="11" t="s">
        <v>65</v>
      </c>
      <c r="O4" s="11" t="s">
        <v>66</v>
      </c>
      <c r="P4" s="11" t="s">
        <v>67</v>
      </c>
      <c r="Q4" s="11" t="s">
        <v>68</v>
      </c>
      <c r="R4" s="11" t="s">
        <v>69</v>
      </c>
      <c r="S4" s="11" t="s">
        <v>70</v>
      </c>
      <c r="U4" s="12" t="n">
        <v>0</v>
      </c>
      <c r="V4" s="13" t="n">
        <v>0.125</v>
      </c>
    </row>
    <row r="5" customFormat="false" ht="15" hidden="false" customHeight="false" outlineLevel="0" collapsed="false">
      <c r="A5" s="4" t="s">
        <v>71</v>
      </c>
      <c r="B5" s="10" t="n">
        <v>380000</v>
      </c>
      <c r="C5" s="10" t="n">
        <v>4500</v>
      </c>
      <c r="D5" s="12" t="n">
        <f aca="false">Pressupostos!$B$9*C5</f>
        <v>3375</v>
      </c>
      <c r="E5" s="12" t="n">
        <f aca="false">MIN(Pressupostos!$B$7*C5,Pressupostos!$B$8)*Pressupostos!$B$6</f>
        <v>674.1</v>
      </c>
      <c r="F5" s="12" t="n">
        <f aca="false">SUMPRODUCT((D5&gt;$U$4:$U$14)*(D5-$U$4:$U$14)*$V$4:$V$14)</f>
        <v>421.875</v>
      </c>
      <c r="G5" s="14" t="n">
        <v>1</v>
      </c>
      <c r="H5" s="12" t="n">
        <f aca="false">MAX(0,F5*(1-G5)-Pressupostos!$B$11)</f>
        <v>0</v>
      </c>
      <c r="I5" s="12" t="n">
        <f aca="false">Pressupostos!$B$10*(C5-E5)</f>
        <v>478.2375</v>
      </c>
      <c r="J5" s="12" t="n">
        <f aca="false">H5-I5</f>
        <v>-478.2375</v>
      </c>
      <c r="K5" s="14" t="n">
        <v>0</v>
      </c>
      <c r="L5" s="14" t="n">
        <v>0</v>
      </c>
      <c r="M5" s="14" t="n">
        <v>0.02</v>
      </c>
      <c r="N5" s="12" t="n">
        <f aca="false">B5*K5</f>
        <v>0</v>
      </c>
      <c r="O5" s="12" t="n">
        <f aca="false">B5*L5</f>
        <v>0</v>
      </c>
      <c r="P5" s="12" t="n">
        <f aca="false">B5*M5</f>
        <v>7600</v>
      </c>
      <c r="Q5" s="12" t="n">
        <f aca="false">N5*J5</f>
        <v>-0</v>
      </c>
      <c r="R5" s="12" t="n">
        <f aca="false">O5*J5</f>
        <v>-0</v>
      </c>
      <c r="S5" s="12" t="n">
        <f aca="false">P5*J5</f>
        <v>-3634605</v>
      </c>
      <c r="U5" s="12" t="n">
        <v>8342</v>
      </c>
      <c r="V5" s="13" t="n">
        <v>0.032</v>
      </c>
    </row>
    <row r="6" customFormat="false" ht="15" hidden="false" customHeight="false" outlineLevel="0" collapsed="false">
      <c r="A6" s="4" t="s">
        <v>72</v>
      </c>
      <c r="B6" s="10" t="n">
        <v>190000</v>
      </c>
      <c r="C6" s="10" t="n">
        <v>14500</v>
      </c>
      <c r="D6" s="12" t="n">
        <f aca="false">Pressupostos!$B$9*C6</f>
        <v>10875</v>
      </c>
      <c r="E6" s="12" t="n">
        <f aca="false">MIN(Pressupostos!$B$7*C6,Pressupostos!$B$8)*Pressupostos!$B$6</f>
        <v>2172.1</v>
      </c>
      <c r="F6" s="12" t="n">
        <f aca="false">SUMPRODUCT((D6&gt;$U$4:$U$14)*(D6-$U$4:$U$14)*$V$4:$V$14)</f>
        <v>1440.431</v>
      </c>
      <c r="G6" s="14" t="n">
        <v>0.5</v>
      </c>
      <c r="H6" s="12" t="n">
        <f aca="false">MAX(0,F6*(1-G6)-Pressupostos!$B$11)</f>
        <v>20.2155</v>
      </c>
      <c r="I6" s="12" t="n">
        <f aca="false">Pressupostos!$B$10*(C6-E6)</f>
        <v>1540.9875</v>
      </c>
      <c r="J6" s="12" t="n">
        <f aca="false">H6-I6</f>
        <v>-1520.772</v>
      </c>
      <c r="K6" s="14" t="n">
        <v>0</v>
      </c>
      <c r="L6" s="14" t="n">
        <v>0.02</v>
      </c>
      <c r="M6" s="14" t="n">
        <v>0.05</v>
      </c>
      <c r="N6" s="12" t="n">
        <f aca="false">B6*K6</f>
        <v>0</v>
      </c>
      <c r="O6" s="12" t="n">
        <f aca="false">B6*L6</f>
        <v>3800</v>
      </c>
      <c r="P6" s="12" t="n">
        <f aca="false">B6*M6</f>
        <v>9500</v>
      </c>
      <c r="Q6" s="12" t="n">
        <f aca="false">N6*J6</f>
        <v>-0</v>
      </c>
      <c r="R6" s="12" t="n">
        <f aca="false">O6*J6</f>
        <v>-5778933.6</v>
      </c>
      <c r="S6" s="12" t="n">
        <f aca="false">P6*J6</f>
        <v>-14447334</v>
      </c>
      <c r="U6" s="12" t="n">
        <v>12587</v>
      </c>
      <c r="V6" s="13" t="n">
        <v>0.055</v>
      </c>
    </row>
    <row r="7" customFormat="false" ht="15" hidden="false" customHeight="false" outlineLevel="0" collapsed="false">
      <c r="A7" s="4" t="s">
        <v>73</v>
      </c>
      <c r="B7" s="10" t="n">
        <v>90000</v>
      </c>
      <c r="C7" s="10" t="n">
        <v>24500</v>
      </c>
      <c r="D7" s="12" t="n">
        <f aca="false">Pressupostos!$B$9*C7</f>
        <v>18375</v>
      </c>
      <c r="E7" s="12" t="n">
        <f aca="false">MIN(Pressupostos!$B$7*C7,Pressupostos!$B$8)*Pressupostos!$B$6</f>
        <v>3670.1</v>
      </c>
      <c r="F7" s="12" t="n">
        <f aca="false">SUMPRODUCT((D7&gt;$U$4:$U$14)*(D7-$U$4:$U$14)*$V$4:$V$14)</f>
        <v>2951.844</v>
      </c>
      <c r="G7" s="14" t="n">
        <v>0</v>
      </c>
      <c r="H7" s="12" t="n">
        <f aca="false">MAX(0,F7*(1-G7)-Pressupostos!$B$11)</f>
        <v>2251.844</v>
      </c>
      <c r="I7" s="12" t="n">
        <f aca="false">Pressupostos!$B$10*(C7-E7)</f>
        <v>2603.7375</v>
      </c>
      <c r="J7" s="12" t="n">
        <f aca="false">H7-I7</f>
        <v>-351.8935</v>
      </c>
      <c r="K7" s="14" t="n">
        <v>0.05</v>
      </c>
      <c r="L7" s="14" t="n">
        <v>0.1</v>
      </c>
      <c r="M7" s="14" t="n">
        <v>0.2</v>
      </c>
      <c r="N7" s="12" t="n">
        <f aca="false">B7*K7</f>
        <v>4500</v>
      </c>
      <c r="O7" s="12" t="n">
        <f aca="false">B7*L7</f>
        <v>9000</v>
      </c>
      <c r="P7" s="12" t="n">
        <f aca="false">B7*M7</f>
        <v>18000</v>
      </c>
      <c r="Q7" s="12" t="n">
        <f aca="false">N7*J7</f>
        <v>-1583520.75</v>
      </c>
      <c r="R7" s="12" t="n">
        <f aca="false">O7*J7</f>
        <v>-3167041.5</v>
      </c>
      <c r="S7" s="12" t="n">
        <f aca="false">P7*J7</f>
        <v>-6334083</v>
      </c>
      <c r="U7" s="12" t="n">
        <v>17838</v>
      </c>
      <c r="V7" s="13" t="n">
        <v>0.029</v>
      </c>
    </row>
    <row r="8" customFormat="false" ht="15" hidden="false" customHeight="false" outlineLevel="0" collapsed="false">
      <c r="A8" s="4" t="s">
        <v>74</v>
      </c>
      <c r="B8" s="10" t="n">
        <v>60000</v>
      </c>
      <c r="C8" s="10" t="n">
        <v>38000</v>
      </c>
      <c r="D8" s="12" t="n">
        <f aca="false">Pressupostos!$B$9*C8</f>
        <v>28500</v>
      </c>
      <c r="E8" s="12" t="n">
        <f aca="false">MIN(Pressupostos!$B$7*C8,Pressupostos!$B$8)*Pressupostos!$B$6</f>
        <v>5692.4</v>
      </c>
      <c r="F8" s="12" t="n">
        <f aca="false">SUMPRODUCT((D8&gt;$U$4:$U$14)*(D8-$U$4:$U$14)*$V$4:$V$14)</f>
        <v>5770.739</v>
      </c>
      <c r="G8" s="14" t="n">
        <v>0</v>
      </c>
      <c r="H8" s="12" t="n">
        <f aca="false">MAX(0,F8*(1-G8)-Pressupostos!$B$11)</f>
        <v>5070.739</v>
      </c>
      <c r="I8" s="12" t="n">
        <f aca="false">Pressupostos!$B$10*(C8-E8)</f>
        <v>4038.45</v>
      </c>
      <c r="J8" s="12" t="n">
        <f aca="false">H8-I8</f>
        <v>1032.289</v>
      </c>
      <c r="K8" s="14" t="n">
        <v>0.2</v>
      </c>
      <c r="L8" s="14" t="n">
        <v>0.4</v>
      </c>
      <c r="M8" s="14" t="n">
        <v>0.6</v>
      </c>
      <c r="N8" s="12" t="n">
        <f aca="false">B8*K8</f>
        <v>12000</v>
      </c>
      <c r="O8" s="12" t="n">
        <f aca="false">B8*L8</f>
        <v>24000</v>
      </c>
      <c r="P8" s="12" t="n">
        <f aca="false">B8*M8</f>
        <v>36000</v>
      </c>
      <c r="Q8" s="12" t="n">
        <f aca="false">N8*J8</f>
        <v>12387468</v>
      </c>
      <c r="R8" s="12" t="n">
        <f aca="false">O8*J8</f>
        <v>24774936</v>
      </c>
      <c r="S8" s="12" t="n">
        <f aca="false">P8*J8</f>
        <v>37162404</v>
      </c>
      <c r="U8" s="12" t="n">
        <v>23089</v>
      </c>
      <c r="V8" s="13" t="n">
        <v>0.07</v>
      </c>
    </row>
    <row r="9" customFormat="false" ht="15" hidden="false" customHeight="false" outlineLevel="0" collapsed="false">
      <c r="A9" s="4" t="s">
        <v>75</v>
      </c>
      <c r="B9" s="10" t="n">
        <v>30000</v>
      </c>
      <c r="C9" s="10" t="n">
        <v>62000</v>
      </c>
      <c r="D9" s="12" t="n">
        <f aca="false">Pressupostos!$B$9*C9</f>
        <v>46500</v>
      </c>
      <c r="E9" s="12" t="n">
        <f aca="false">MIN(Pressupostos!$B$7*C9,Pressupostos!$B$8)*Pressupostos!$B$6</f>
        <v>9287.6</v>
      </c>
      <c r="F9" s="12" t="n">
        <f aca="false">SUMPRODUCT((D9&gt;$U$4:$U$14)*(D9-$U$4:$U$14)*$V$4:$V$14)</f>
        <v>12298.273</v>
      </c>
      <c r="G9" s="14" t="n">
        <v>0</v>
      </c>
      <c r="H9" s="12" t="n">
        <f aca="false">MAX(0,F9*(1-G9)-Pressupostos!$B$11)</f>
        <v>11598.273</v>
      </c>
      <c r="I9" s="12" t="n">
        <f aca="false">Pressupostos!$B$10*(C9-E9)</f>
        <v>6589.05</v>
      </c>
      <c r="J9" s="12" t="n">
        <f aca="false">H9-I9</f>
        <v>5009.223</v>
      </c>
      <c r="K9" s="14" t="n">
        <v>0.4</v>
      </c>
      <c r="L9" s="14" t="n">
        <v>0.65</v>
      </c>
      <c r="M9" s="14" t="n">
        <v>0.85</v>
      </c>
      <c r="N9" s="12" t="n">
        <f aca="false">B9*K9</f>
        <v>12000</v>
      </c>
      <c r="O9" s="12" t="n">
        <f aca="false">B9*L9</f>
        <v>19500</v>
      </c>
      <c r="P9" s="12" t="n">
        <f aca="false">B9*M9</f>
        <v>25500</v>
      </c>
      <c r="Q9" s="12" t="n">
        <f aca="false">N9*J9</f>
        <v>60110676</v>
      </c>
      <c r="R9" s="12" t="n">
        <f aca="false">O9*J9</f>
        <v>97679848.5</v>
      </c>
      <c r="S9" s="12" t="n">
        <f aca="false">P9*J9</f>
        <v>127735186.5</v>
      </c>
      <c r="U9" s="12" t="n">
        <v>29397</v>
      </c>
      <c r="V9" s="13" t="n">
        <v>0.038</v>
      </c>
    </row>
    <row r="10" customFormat="false" ht="15" hidden="false" customHeight="false" outlineLevel="0" collapsed="false">
      <c r="A10" s="4" t="s">
        <v>76</v>
      </c>
      <c r="B10" s="10" t="n">
        <v>15000</v>
      </c>
      <c r="C10" s="10" t="n">
        <v>95000</v>
      </c>
      <c r="D10" s="12" t="n">
        <f aca="false">Pressupostos!$B$9*C10</f>
        <v>71250</v>
      </c>
      <c r="E10" s="12" t="n">
        <f aca="false">MIN(Pressupostos!$B$7*C10,Pressupostos!$B$8)*Pressupostos!$B$6</f>
        <v>14231</v>
      </c>
      <c r="F10" s="12" t="n">
        <f aca="false">SUMPRODUCT((D10&gt;$U$4:$U$14)*(D10-$U$4:$U$14)*$V$4:$V$14)</f>
        <v>23335.783</v>
      </c>
      <c r="G10" s="14" t="n">
        <v>0</v>
      </c>
      <c r="H10" s="12" t="n">
        <f aca="false">MAX(0,F10*(1-G10)-Pressupostos!$B$11)</f>
        <v>22635.783</v>
      </c>
      <c r="I10" s="12" t="n">
        <f aca="false">Pressupostos!$B$10*(C10-E10)</f>
        <v>10096.125</v>
      </c>
      <c r="J10" s="12" t="n">
        <f aca="false">H10-I10</f>
        <v>12539.658</v>
      </c>
      <c r="K10" s="14" t="n">
        <v>0.55</v>
      </c>
      <c r="L10" s="14" t="n">
        <v>0.75</v>
      </c>
      <c r="M10" s="14" t="n">
        <v>0.9</v>
      </c>
      <c r="N10" s="12" t="n">
        <f aca="false">B10*K10</f>
        <v>8250</v>
      </c>
      <c r="O10" s="12" t="n">
        <f aca="false">B10*L10</f>
        <v>11250</v>
      </c>
      <c r="P10" s="12" t="n">
        <f aca="false">B10*M10</f>
        <v>13500</v>
      </c>
      <c r="Q10" s="12" t="n">
        <f aca="false">N10*J10</f>
        <v>103452178.5</v>
      </c>
      <c r="R10" s="12" t="n">
        <f aca="false">O10*J10</f>
        <v>141071152.5</v>
      </c>
      <c r="S10" s="12" t="n">
        <f aca="false">P10*J10</f>
        <v>169285383</v>
      </c>
      <c r="U10" s="12" t="n">
        <v>43090</v>
      </c>
      <c r="V10" s="13" t="n">
        <v>0.082</v>
      </c>
    </row>
    <row r="11" customFormat="false" ht="15" hidden="false" customHeight="false" outlineLevel="0" collapsed="false">
      <c r="A11" s="4" t="s">
        <v>77</v>
      </c>
      <c r="B11" s="10" t="n">
        <v>6000</v>
      </c>
      <c r="C11" s="10" t="n">
        <v>150000</v>
      </c>
      <c r="D11" s="12" t="n">
        <f aca="false">Pressupostos!$B$9*C11</f>
        <v>112500</v>
      </c>
      <c r="E11" s="12" t="n">
        <f aca="false">MIN(Pressupostos!$B$7*C11,Pressupostos!$B$8)*Pressupostos!$B$6</f>
        <v>16552.19808</v>
      </c>
      <c r="F11" s="12" t="n">
        <f aca="false">SUMPRODUCT((D11&gt;$U$4:$U$14)*(D11-$U$4:$U$14)*$V$4:$V$14)</f>
        <v>43425.227</v>
      </c>
      <c r="G11" s="14" t="n">
        <v>0</v>
      </c>
      <c r="H11" s="12" t="n">
        <f aca="false">MAX(0,F11*(1-G11)-Pressupostos!$B$11)</f>
        <v>42725.227</v>
      </c>
      <c r="I11" s="12" t="n">
        <f aca="false">Pressupostos!$B$10*(C11-E11)</f>
        <v>16680.97524</v>
      </c>
      <c r="J11" s="12" t="n">
        <f aca="false">H11-I11</f>
        <v>26044.25176</v>
      </c>
      <c r="K11" s="14" t="n">
        <v>0.65</v>
      </c>
      <c r="L11" s="14" t="n">
        <v>0.85</v>
      </c>
      <c r="M11" s="14" t="n">
        <v>0.95</v>
      </c>
      <c r="N11" s="12" t="n">
        <f aca="false">B11*K11</f>
        <v>3900</v>
      </c>
      <c r="O11" s="12" t="n">
        <f aca="false">B11*L11</f>
        <v>5100</v>
      </c>
      <c r="P11" s="12" t="n">
        <f aca="false">B11*M11</f>
        <v>5700</v>
      </c>
      <c r="Q11" s="12" t="n">
        <f aca="false">N11*J11</f>
        <v>101572581.864</v>
      </c>
      <c r="R11" s="12" t="n">
        <f aca="false">O11*J11</f>
        <v>132825683.976</v>
      </c>
      <c r="S11" s="12" t="n">
        <f aca="false">P11*J11</f>
        <v>148452235.032</v>
      </c>
      <c r="U11" s="12" t="n">
        <v>46566</v>
      </c>
      <c r="V11" s="13" t="n">
        <v>0.015</v>
      </c>
    </row>
    <row r="12" customFormat="false" ht="15" hidden="false" customHeight="false" outlineLevel="0" collapsed="false">
      <c r="A12" s="4" t="s">
        <v>78</v>
      </c>
      <c r="B12" s="10" t="n">
        <v>2000</v>
      </c>
      <c r="C12" s="10" t="n">
        <v>300000</v>
      </c>
      <c r="D12" s="12" t="n">
        <f aca="false">Pressupostos!$B$9*C12</f>
        <v>225000</v>
      </c>
      <c r="E12" s="12" t="n">
        <f aca="false">MIN(Pressupostos!$B$7*C12,Pressupostos!$B$8)*Pressupostos!$B$6</f>
        <v>16552.19808</v>
      </c>
      <c r="F12" s="12" t="n">
        <f aca="false">SUMPRODUCT((D12&gt;$U$4:$U$14)*(D12-$U$4:$U$14)*$V$4:$V$14)</f>
        <v>100237.727</v>
      </c>
      <c r="G12" s="14" t="n">
        <v>0</v>
      </c>
      <c r="H12" s="12" t="n">
        <f aca="false">MAX(0,F12*(1-G12)-Pressupostos!$B$11)</f>
        <v>99537.727</v>
      </c>
      <c r="I12" s="12" t="n">
        <f aca="false">Pressupostos!$B$10*(C12-E12)</f>
        <v>35430.97524</v>
      </c>
      <c r="J12" s="12" t="n">
        <f aca="false">H12-I12</f>
        <v>64106.75176</v>
      </c>
      <c r="K12" s="14" t="n">
        <v>0.7</v>
      </c>
      <c r="L12" s="14" t="n">
        <v>0.9</v>
      </c>
      <c r="M12" s="14" t="n">
        <v>0.95</v>
      </c>
      <c r="N12" s="12" t="n">
        <f aca="false">B12*K12</f>
        <v>1400</v>
      </c>
      <c r="O12" s="12" t="n">
        <f aca="false">B12*L12</f>
        <v>1800</v>
      </c>
      <c r="P12" s="12" t="n">
        <f aca="false">B12*M12</f>
        <v>1900</v>
      </c>
      <c r="Q12" s="12" t="n">
        <f aca="false">N12*J12</f>
        <v>89749452.464</v>
      </c>
      <c r="R12" s="12" t="n">
        <f aca="false">O12*J12</f>
        <v>115392153.168</v>
      </c>
      <c r="S12" s="12" t="n">
        <f aca="false">P12*J12</f>
        <v>121802828.344</v>
      </c>
      <c r="U12" s="12" t="n">
        <v>86634</v>
      </c>
      <c r="V12" s="13" t="n">
        <v>0.034</v>
      </c>
    </row>
    <row r="13" customFormat="false" ht="15" hidden="false" customHeight="false" outlineLevel="0" collapsed="false">
      <c r="A13" s="9" t="s">
        <v>79</v>
      </c>
      <c r="B13" s="15" t="n">
        <f aca="false">SUM(B5:B12)</f>
        <v>773000</v>
      </c>
      <c r="C13" s="16" t="n">
        <f aca="false">SUMPRODUCT(B5:B12,C5:C12)/1000000</f>
        <v>13735</v>
      </c>
      <c r="N13" s="15" t="n">
        <f aca="false">SUM(N5:N12)</f>
        <v>42050</v>
      </c>
      <c r="O13" s="15" t="n">
        <f aca="false">SUM(O5:O12)</f>
        <v>74450</v>
      </c>
      <c r="P13" s="15" t="n">
        <f aca="false">SUM(P5:P12)</f>
        <v>117700</v>
      </c>
      <c r="Q13" s="15" t="n">
        <f aca="false">SUM(Q5:Q12)</f>
        <v>365688836.078</v>
      </c>
      <c r="R13" s="15" t="n">
        <f aca="false">SUM(R5:R12)</f>
        <v>502797799.044</v>
      </c>
      <c r="S13" s="15" t="n">
        <f aca="false">SUM(S5:S12)</f>
        <v>580022014.876</v>
      </c>
      <c r="U13" s="12" t="n">
        <v>80000</v>
      </c>
      <c r="V13" s="13" t="n">
        <v>0.025</v>
      </c>
    </row>
    <row r="14" customFormat="false" ht="15" hidden="false" customHeight="false" outlineLevel="0" collapsed="false">
      <c r="U14" s="12" t="n">
        <v>250000</v>
      </c>
      <c r="V14" s="13" t="n">
        <v>0.025</v>
      </c>
    </row>
    <row r="15" customFormat="false" ht="15" hidden="false" customHeight="false" outlineLevel="0" collapsed="false">
      <c r="A15" s="17" t="s">
        <v>80</v>
      </c>
      <c r="N15" s="12" t="n">
        <f aca="false">SUMPRODUCT(N5:N12,$C5:$C12)</f>
        <v>3099000000</v>
      </c>
      <c r="O15" s="12" t="n">
        <f aca="false">SUMPRODUCT(O5:O12,$C5:$C12)</f>
        <v>4770350000</v>
      </c>
      <c r="P15" s="12" t="n">
        <f aca="false">SUMPRODUCT(P5:P12,$C5:$C12)</f>
        <v>6269450000</v>
      </c>
      <c r="U15" s="2" t="s">
        <v>81</v>
      </c>
    </row>
    <row r="16" customFormat="false" ht="15" hidden="false" customHeight="false" outlineLevel="0" collapsed="false">
      <c r="A16" s="2" t="s">
        <v>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8"/>
    <col collapsed="false" customWidth="true" hidden="false" outlineLevel="0" max="6" min="2" style="0" width="15"/>
  </cols>
  <sheetData>
    <row r="1" customFormat="false" ht="17.35" hidden="false" customHeight="false" outlineLevel="0" collapsed="false">
      <c r="A1" s="1" t="s">
        <v>83</v>
      </c>
    </row>
    <row r="2" customFormat="false" ht="15" hidden="false" customHeight="false" outlineLevel="0" collapsed="false">
      <c r="A2" s="2" t="s">
        <v>84</v>
      </c>
    </row>
    <row r="4" customFormat="false" ht="15" hidden="false" customHeight="false" outlineLevel="0" collapsed="false">
      <c r="A4" s="3" t="s">
        <v>85</v>
      </c>
      <c r="B4" s="9" t="s">
        <v>38</v>
      </c>
      <c r="C4" s="9" t="s">
        <v>39</v>
      </c>
      <c r="D4" s="9" t="s">
        <v>40</v>
      </c>
      <c r="E4" s="9" t="s">
        <v>41</v>
      </c>
      <c r="F4" s="9" t="s">
        <v>42</v>
      </c>
    </row>
    <row r="5" customFormat="false" ht="15" hidden="false" customHeight="false" outlineLevel="0" collapsed="false">
      <c r="A5" s="4" t="s">
        <v>86</v>
      </c>
      <c r="B5" s="18" t="n">
        <f aca="false">-BaseCatB!$Q$13*Pressupostos!$B$37</f>
        <v>-219413301.6468</v>
      </c>
      <c r="C5" s="18" t="n">
        <f aca="false">-BaseCatB!$Q$13*Pressupostos!$B$38</f>
        <v>-310835510.6663</v>
      </c>
      <c r="D5" s="18" t="n">
        <f aca="false">-BaseCatB!$Q$13*Pressupostos!$B$39</f>
        <v>-365688836.078</v>
      </c>
      <c r="E5" s="18" t="n">
        <f aca="false">-BaseCatB!$Q$13*Pressupostos!$B$40</f>
        <v>-365688836.078</v>
      </c>
      <c r="F5" s="18" t="n">
        <f aca="false">-BaseCatB!$Q$13*Pressupostos!$B$41</f>
        <v>-365688836.078</v>
      </c>
    </row>
    <row r="6" customFormat="false" ht="15" hidden="false" customHeight="false" outlineLevel="0" collapsed="false">
      <c r="A6" s="4" t="s">
        <v>87</v>
      </c>
      <c r="B6" s="18" t="n">
        <f aca="false">BaseCatB!$N$15*Pressupostos!$B$37*Pressupostos!$B$14*Pressupostos!$B$10</f>
        <v>11621250</v>
      </c>
      <c r="C6" s="18" t="n">
        <f aca="false">BaseCatB!$N$15*Pressupostos!$B$38*Pressupostos!$B$14*Pressupostos!$B$10</f>
        <v>16463437.5</v>
      </c>
      <c r="D6" s="18" t="n">
        <f aca="false">BaseCatB!$N$15*Pressupostos!$B$39*Pressupostos!$B$14*Pressupostos!$B$10</f>
        <v>19368750</v>
      </c>
      <c r="E6" s="18" t="n">
        <f aca="false">BaseCatB!$N$15*Pressupostos!$B$40*Pressupostos!$B$14*Pressupostos!$B$10</f>
        <v>19368750</v>
      </c>
      <c r="F6" s="18" t="n">
        <f aca="false">BaseCatB!$N$15*Pressupostos!$B$41*Pressupostos!$B$14*Pressupostos!$B$10</f>
        <v>19368750</v>
      </c>
    </row>
    <row r="7" customFormat="false" ht="15" hidden="false" customHeight="false" outlineLevel="0" collapsed="false">
      <c r="A7" s="4" t="s">
        <v>88</v>
      </c>
      <c r="B7" s="18" t="n">
        <f aca="false">BaseCatB!$N$15*Pressupostos!$B$37*Pressupostos!$B$14*Pressupostos!$B$12</f>
        <v>9297000</v>
      </c>
      <c r="C7" s="18" t="n">
        <f aca="false">BaseCatB!$N$15*Pressupostos!$B$38*Pressupostos!$B$14*Pressupostos!$B$12</f>
        <v>13170750</v>
      </c>
      <c r="D7" s="18" t="n">
        <f aca="false">BaseCatB!$N$15*Pressupostos!$B$39*Pressupostos!$B$14*Pressupostos!$B$12</f>
        <v>15495000</v>
      </c>
      <c r="E7" s="18" t="n">
        <f aca="false">BaseCatB!$N$15*Pressupostos!$B$40*Pressupostos!$B$14*Pressupostos!$B$12</f>
        <v>15495000</v>
      </c>
      <c r="F7" s="18" t="n">
        <f aca="false">BaseCatB!$N$15*Pressupostos!$B$41*Pressupostos!$B$14*Pressupostos!$B$12</f>
        <v>15495000</v>
      </c>
    </row>
    <row r="8" customFormat="false" ht="15" hidden="false" customHeight="false" outlineLevel="0" collapsed="false">
      <c r="A8" s="4" t="s">
        <v>89</v>
      </c>
      <c r="B8" s="18" t="n">
        <f aca="false">Pressupostos!$B$15*Pressupostos!$B$16*Pressupostos!$B$17*Pressupostos!$B$37*Pressupostos!$B$18</f>
        <v>-1920000</v>
      </c>
      <c r="C8" s="18" t="n">
        <f aca="false">Pressupostos!$B$15*Pressupostos!$B$16*Pressupostos!$B$17*Pressupostos!$B$38*Pressupostos!$B$18</f>
        <v>-2720000</v>
      </c>
      <c r="D8" s="18" t="n">
        <f aca="false">Pressupostos!$B$15*Pressupostos!$B$16*Pressupostos!$B$17*Pressupostos!$B$39*Pressupostos!$B$18</f>
        <v>-3200000</v>
      </c>
      <c r="E8" s="18" t="n">
        <f aca="false">Pressupostos!$B$15*Pressupostos!$B$16*Pressupostos!$B$17*Pressupostos!$B$40*Pressupostos!$B$18</f>
        <v>-3200000</v>
      </c>
      <c r="F8" s="18" t="n">
        <f aca="false">Pressupostos!$B$15*Pressupostos!$B$16*Pressupostos!$B$17*Pressupostos!$B$41*Pressupostos!$B$18</f>
        <v>-3200000</v>
      </c>
    </row>
    <row r="9" customFormat="false" ht="15" hidden="false" customHeight="false" outlineLevel="0" collapsed="false">
      <c r="A9" s="4" t="s">
        <v>90</v>
      </c>
      <c r="B9" s="18" t="n">
        <f aca="false">Pressupostos!$B$19*Pressupostos!$B$20*1*(Pressupostos!$B$21+Pressupostos!$B$22+Pressupostos!$B$23)</f>
        <v>4360000</v>
      </c>
      <c r="C9" s="18" t="n">
        <f aca="false">Pressupostos!$B$19*Pressupostos!$B$20*2*(Pressupostos!$B$21+Pressupostos!$B$22+Pressupostos!$B$23)</f>
        <v>8720000</v>
      </c>
      <c r="D9" s="18" t="n">
        <f aca="false">Pressupostos!$B$19*Pressupostos!$B$20*3*(Pressupostos!$B$21+Pressupostos!$B$22+Pressupostos!$B$23)</f>
        <v>13080000</v>
      </c>
      <c r="E9" s="18" t="n">
        <f aca="false">Pressupostos!$B$19*Pressupostos!$B$20*4*(Pressupostos!$B$21+Pressupostos!$B$22+Pressupostos!$B$23)</f>
        <v>17440000</v>
      </c>
      <c r="F9" s="18" t="n">
        <f aca="false">Pressupostos!$B$19*Pressupostos!$B$20*5*(Pressupostos!$B$21+Pressupostos!$B$22+Pressupostos!$B$23)</f>
        <v>21800000</v>
      </c>
    </row>
    <row r="10" customFormat="false" ht="15" hidden="false" customHeight="false" outlineLevel="0" collapsed="false">
      <c r="A10" s="4" t="s">
        <v>91</v>
      </c>
      <c r="B10" s="18" t="n">
        <f aca="false">Pressupostos!$B$24*1*(Pressupostos!$B$21+Pressupostos!$B$22+Pressupostos!$B$23)</f>
        <v>5450000</v>
      </c>
      <c r="C10" s="18" t="n">
        <f aca="false">Pressupostos!$B$24*2*(Pressupostos!$B$21+Pressupostos!$B$22+Pressupostos!$B$23)</f>
        <v>10900000</v>
      </c>
      <c r="D10" s="18" t="n">
        <f aca="false">Pressupostos!$B$24*3*(Pressupostos!$B$21+Pressupostos!$B$22+Pressupostos!$B$23)</f>
        <v>16350000</v>
      </c>
      <c r="E10" s="18" t="n">
        <f aca="false">Pressupostos!$B$24*4*(Pressupostos!$B$21+Pressupostos!$B$22+Pressupostos!$B$23)</f>
        <v>21800000</v>
      </c>
      <c r="F10" s="18" t="n">
        <f aca="false">Pressupostos!$B$24*5*(Pressupostos!$B$21+Pressupostos!$B$22+Pressupostos!$B$23)</f>
        <v>27250000</v>
      </c>
    </row>
    <row r="11" customFormat="false" ht="15" hidden="false" customHeight="false" outlineLevel="0" collapsed="false">
      <c r="A11" s="4" t="s">
        <v>92</v>
      </c>
      <c r="B11" s="18" t="n">
        <f aca="false">Pressupostos!$B$25*(Pressupostos!$B$26+Pressupostos!$B$27+Pressupostos!$B$28)*(1-(1-Pressupostos!$B$29)^1)/Pressupostos!$B$29</f>
        <v>30600000</v>
      </c>
      <c r="C11" s="18" t="n">
        <f aca="false">Pressupostos!$B$25*(Pressupostos!$B$26+Pressupostos!$B$27+Pressupostos!$B$28)*(1-(1-Pressupostos!$B$29)^2)/Pressupostos!$B$29</f>
        <v>56610000</v>
      </c>
      <c r="D11" s="18" t="n">
        <f aca="false">Pressupostos!$B$25*(Pressupostos!$B$26+Pressupostos!$B$27+Pressupostos!$B$28)*(1-(1-Pressupostos!$B$29)^3)/Pressupostos!$B$29</f>
        <v>78718500</v>
      </c>
      <c r="E11" s="18" t="n">
        <f aca="false">Pressupostos!$B$25*(Pressupostos!$B$26+Pressupostos!$B$27+Pressupostos!$B$28)*(1-(1-Pressupostos!$B$29)^4)/Pressupostos!$B$29</f>
        <v>97510725</v>
      </c>
      <c r="F11" s="18" t="n">
        <f aca="false">Pressupostos!$B$25*(Pressupostos!$B$26+Pressupostos!$B$27+Pressupostos!$B$28)*(1-(1-Pressupostos!$B$29)^5)/Pressupostos!$B$29</f>
        <v>113484116.25</v>
      </c>
    </row>
    <row r="12" customFormat="false" ht="15" hidden="false" customHeight="false" outlineLevel="0" collapsed="false">
      <c r="A12" s="4" t="s">
        <v>93</v>
      </c>
      <c r="B12" s="18" t="n">
        <f aca="false">Pressupostos!$B$30*1*(Pressupostos!$B$31+Pressupostos!$B$32)</f>
        <v>16000000</v>
      </c>
      <c r="C12" s="18" t="n">
        <f aca="false">Pressupostos!$B$30*2*(Pressupostos!$B$31+Pressupostos!$B$32)</f>
        <v>32000000</v>
      </c>
      <c r="D12" s="18" t="n">
        <f aca="false">Pressupostos!$B$30*3*(Pressupostos!$B$31+Pressupostos!$B$32)</f>
        <v>48000000</v>
      </c>
      <c r="E12" s="18" t="n">
        <f aca="false">Pressupostos!$B$30*4*(Pressupostos!$B$31+Pressupostos!$B$32)</f>
        <v>64000000</v>
      </c>
      <c r="F12" s="18" t="n">
        <f aca="false">Pressupostos!$B$30*5*(Pressupostos!$B$31+Pressupostos!$B$32)</f>
        <v>80000000</v>
      </c>
    </row>
    <row r="13" customFormat="false" ht="15" hidden="false" customHeight="false" outlineLevel="0" collapsed="false">
      <c r="A13" s="4" t="s">
        <v>94</v>
      </c>
      <c r="B13" s="18" t="n">
        <f aca="false">BaseCatB!$Q$13*Pressupostos!$B$37*Pressupostos!$B$33</f>
        <v>10970665.08234</v>
      </c>
      <c r="C13" s="18" t="n">
        <f aca="false">BaseCatB!$Q$13*Pressupostos!$B$38*Pressupostos!$B$33</f>
        <v>15541775.533315</v>
      </c>
      <c r="D13" s="18" t="n">
        <f aca="false">BaseCatB!$Q$13*Pressupostos!$B$39*Pressupostos!$B$33</f>
        <v>18284441.8039</v>
      </c>
      <c r="E13" s="18" t="n">
        <f aca="false">BaseCatB!$Q$13*Pressupostos!$B$40*Pressupostos!$B$33</f>
        <v>18284441.8039</v>
      </c>
      <c r="F13" s="18" t="n">
        <f aca="false">BaseCatB!$Q$13*Pressupostos!$B$41*Pressupostos!$B$33</f>
        <v>18284441.8039</v>
      </c>
    </row>
    <row r="14" customFormat="false" ht="15" hidden="false" customHeight="false" outlineLevel="0" collapsed="false">
      <c r="A14" s="4" t="s">
        <v>95</v>
      </c>
      <c r="B14" s="18" t="n">
        <f aca="false">Pressupostos!$B$34</f>
        <v>5000000</v>
      </c>
      <c r="C14" s="18" t="n">
        <f aca="false">Pressupostos!$B$34</f>
        <v>5000000</v>
      </c>
      <c r="D14" s="18" t="n">
        <f aca="false">Pressupostos!$B$34</f>
        <v>5000000</v>
      </c>
      <c r="E14" s="18" t="n">
        <f aca="false">Pressupostos!$B$34</f>
        <v>5000000</v>
      </c>
      <c r="F14" s="18" t="n">
        <f aca="false">Pressupostos!$B$34</f>
        <v>5000000</v>
      </c>
    </row>
    <row r="15" customFormat="false" ht="15" hidden="false" customHeight="false" outlineLevel="0" collapsed="false">
      <c r="A15" s="4" t="s">
        <v>96</v>
      </c>
      <c r="B15" s="18" t="n">
        <f aca="false">BaseCatB!$N$13*Pressupostos!$B$37*Pressupostos!$B$35</f>
        <v>1261500</v>
      </c>
      <c r="C15" s="18" t="n">
        <f aca="false">BaseCatB!$N$13*Pressupostos!$B$38*Pressupostos!$B$35</f>
        <v>1787125</v>
      </c>
      <c r="D15" s="18" t="n">
        <f aca="false">BaseCatB!$N$13*Pressupostos!$B$39*Pressupostos!$B$35</f>
        <v>2102500</v>
      </c>
      <c r="E15" s="18" t="n">
        <f aca="false">BaseCatB!$N$13*Pressupostos!$B$40*Pressupostos!$B$35</f>
        <v>2102500</v>
      </c>
      <c r="F15" s="18" t="n">
        <f aca="false">BaseCatB!$N$13*Pressupostos!$B$41*Pressupostos!$B$35</f>
        <v>2102500</v>
      </c>
    </row>
    <row r="16" customFormat="false" ht="15" hidden="false" customHeight="false" outlineLevel="0" collapsed="false">
      <c r="A16" s="9" t="s">
        <v>97</v>
      </c>
      <c r="B16" s="19" t="n">
        <f aca="false">SUM(B5:B15)</f>
        <v>-126772886.56446</v>
      </c>
      <c r="C16" s="19" t="n">
        <f aca="false">SUM(C5:C15)</f>
        <v>-153362422.632985</v>
      </c>
      <c r="D16" s="19" t="n">
        <f aca="false">SUM(D5:D15)</f>
        <v>-152489644.2741</v>
      </c>
      <c r="E16" s="19" t="n">
        <f aca="false">SUM(E5:E15)</f>
        <v>-107887419.2741</v>
      </c>
      <c r="F16" s="19" t="n">
        <f aca="false">SUM(F5:F15)</f>
        <v>-66104028.0241</v>
      </c>
    </row>
    <row r="19" customFormat="false" ht="15" hidden="false" customHeight="false" outlineLevel="0" collapsed="false">
      <c r="A19" s="3" t="s">
        <v>98</v>
      </c>
      <c r="B19" s="9" t="s">
        <v>38</v>
      </c>
      <c r="C19" s="9" t="s">
        <v>39</v>
      </c>
      <c r="D19" s="9" t="s">
        <v>40</v>
      </c>
      <c r="E19" s="9" t="s">
        <v>41</v>
      </c>
      <c r="F19" s="9" t="s">
        <v>42</v>
      </c>
    </row>
    <row r="20" customFormat="false" ht="15" hidden="false" customHeight="false" outlineLevel="0" collapsed="false">
      <c r="A20" s="4" t="s">
        <v>86</v>
      </c>
      <c r="B20" s="18" t="n">
        <f aca="false">-BaseCatB!$R$13*Pressupostos!$B$37</f>
        <v>-301678679.4264</v>
      </c>
      <c r="C20" s="18" t="n">
        <f aca="false">-BaseCatB!$R$13*Pressupostos!$B$38</f>
        <v>-427378129.1874</v>
      </c>
      <c r="D20" s="18" t="n">
        <f aca="false">-BaseCatB!$R$13*Pressupostos!$B$39</f>
        <v>-502797799.044</v>
      </c>
      <c r="E20" s="18" t="n">
        <f aca="false">-BaseCatB!$R$13*Pressupostos!$B$40</f>
        <v>-502797799.044</v>
      </c>
      <c r="F20" s="18" t="n">
        <f aca="false">-BaseCatB!$R$13*Pressupostos!$B$41</f>
        <v>-502797799.044</v>
      </c>
    </row>
    <row r="21" customFormat="false" ht="15" hidden="false" customHeight="false" outlineLevel="0" collapsed="false">
      <c r="A21" s="4" t="s">
        <v>87</v>
      </c>
      <c r="B21" s="18" t="n">
        <f aca="false">BaseCatB!$O$15*Pressupostos!$B$37*Pressupostos!$C$14*Pressupostos!$B$10</f>
        <v>46510912.5</v>
      </c>
      <c r="C21" s="18" t="n">
        <f aca="false">BaseCatB!$O$15*Pressupostos!$B$38*Pressupostos!$C$14*Pressupostos!$B$10</f>
        <v>65890459.375</v>
      </c>
      <c r="D21" s="18" t="n">
        <f aca="false">BaseCatB!$O$15*Pressupostos!$B$39*Pressupostos!$C$14*Pressupostos!$B$10</f>
        <v>77518187.5</v>
      </c>
      <c r="E21" s="18" t="n">
        <f aca="false">BaseCatB!$O$15*Pressupostos!$B$40*Pressupostos!$C$14*Pressupostos!$B$10</f>
        <v>77518187.5</v>
      </c>
      <c r="F21" s="18" t="n">
        <f aca="false">BaseCatB!$O$15*Pressupostos!$B$41*Pressupostos!$C$14*Pressupostos!$B$10</f>
        <v>77518187.5</v>
      </c>
    </row>
    <row r="22" customFormat="false" ht="15" hidden="false" customHeight="false" outlineLevel="0" collapsed="false">
      <c r="A22" s="4" t="s">
        <v>88</v>
      </c>
      <c r="B22" s="18" t="n">
        <f aca="false">BaseCatB!$O$15*Pressupostos!$B$37*Pressupostos!$C$14*Pressupostos!$B$12</f>
        <v>37208730</v>
      </c>
      <c r="C22" s="18" t="n">
        <f aca="false">BaseCatB!$O$15*Pressupostos!$B$38*Pressupostos!$C$14*Pressupostos!$B$12</f>
        <v>52712367.5</v>
      </c>
      <c r="D22" s="18" t="n">
        <f aca="false">BaseCatB!$O$15*Pressupostos!$B$39*Pressupostos!$C$14*Pressupostos!$B$12</f>
        <v>62014550</v>
      </c>
      <c r="E22" s="18" t="n">
        <f aca="false">BaseCatB!$O$15*Pressupostos!$B$40*Pressupostos!$C$14*Pressupostos!$B$12</f>
        <v>62014550</v>
      </c>
      <c r="F22" s="18" t="n">
        <f aca="false">BaseCatB!$O$15*Pressupostos!$B$41*Pressupostos!$C$14*Pressupostos!$B$12</f>
        <v>62014550</v>
      </c>
    </row>
    <row r="23" customFormat="false" ht="15" hidden="false" customHeight="false" outlineLevel="0" collapsed="false">
      <c r="A23" s="4" t="s">
        <v>89</v>
      </c>
      <c r="B23" s="18" t="n">
        <f aca="false">Pressupostos!$B$15*Pressupostos!$B$16*Pressupostos!$C$17*Pressupostos!$B$37*Pressupostos!$C$18</f>
        <v>3840000</v>
      </c>
      <c r="C23" s="18" t="n">
        <f aca="false">Pressupostos!$B$15*Pressupostos!$B$16*Pressupostos!$C$17*Pressupostos!$B$38*Pressupostos!$C$18</f>
        <v>5440000</v>
      </c>
      <c r="D23" s="18" t="n">
        <f aca="false">Pressupostos!$B$15*Pressupostos!$B$16*Pressupostos!$C$17*Pressupostos!$B$39*Pressupostos!$C$18</f>
        <v>6400000</v>
      </c>
      <c r="E23" s="18" t="n">
        <f aca="false">Pressupostos!$B$15*Pressupostos!$B$16*Pressupostos!$C$17*Pressupostos!$B$40*Pressupostos!$C$18</f>
        <v>6400000</v>
      </c>
      <c r="F23" s="18" t="n">
        <f aca="false">Pressupostos!$B$15*Pressupostos!$B$16*Pressupostos!$C$17*Pressupostos!$B$41*Pressupostos!$C$18</f>
        <v>6400000</v>
      </c>
    </row>
    <row r="24" customFormat="false" ht="15" hidden="false" customHeight="false" outlineLevel="0" collapsed="false">
      <c r="A24" s="4" t="s">
        <v>90</v>
      </c>
      <c r="B24" s="18" t="n">
        <f aca="false">Pressupostos!$B$19*Pressupostos!$C$20*1*(Pressupostos!$B$21+Pressupostos!$B$22+Pressupostos!$B$23)</f>
        <v>10900000</v>
      </c>
      <c r="C24" s="18" t="n">
        <f aca="false">Pressupostos!$B$19*Pressupostos!$C$20*2*(Pressupostos!$B$21+Pressupostos!$B$22+Pressupostos!$B$23)</f>
        <v>21800000</v>
      </c>
      <c r="D24" s="18" t="n">
        <f aca="false">Pressupostos!$B$19*Pressupostos!$C$20*3*(Pressupostos!$B$21+Pressupostos!$B$22+Pressupostos!$B$23)</f>
        <v>32700000</v>
      </c>
      <c r="E24" s="18" t="n">
        <f aca="false">Pressupostos!$B$19*Pressupostos!$C$20*4*(Pressupostos!$B$21+Pressupostos!$B$22+Pressupostos!$B$23)</f>
        <v>43600000</v>
      </c>
      <c r="F24" s="18" t="n">
        <f aca="false">Pressupostos!$B$19*Pressupostos!$C$20*5*(Pressupostos!$B$21+Pressupostos!$B$22+Pressupostos!$B$23)</f>
        <v>54500000</v>
      </c>
    </row>
    <row r="25" customFormat="false" ht="15" hidden="false" customHeight="false" outlineLevel="0" collapsed="false">
      <c r="A25" s="4" t="s">
        <v>91</v>
      </c>
      <c r="B25" s="18" t="n">
        <f aca="false">Pressupostos!$C$24*1*(Pressupostos!$B$21+Pressupostos!$B$22+Pressupostos!$B$23)</f>
        <v>10900000</v>
      </c>
      <c r="C25" s="18" t="n">
        <f aca="false">Pressupostos!$C$24*2*(Pressupostos!$B$21+Pressupostos!$B$22+Pressupostos!$B$23)</f>
        <v>21800000</v>
      </c>
      <c r="D25" s="18" t="n">
        <f aca="false">Pressupostos!$C$24*3*(Pressupostos!$B$21+Pressupostos!$B$22+Pressupostos!$B$23)</f>
        <v>32700000</v>
      </c>
      <c r="E25" s="18" t="n">
        <f aca="false">Pressupostos!$C$24*4*(Pressupostos!$B$21+Pressupostos!$B$22+Pressupostos!$B$23)</f>
        <v>43600000</v>
      </c>
      <c r="F25" s="18" t="n">
        <f aca="false">Pressupostos!$C$24*5*(Pressupostos!$B$21+Pressupostos!$B$22+Pressupostos!$B$23)</f>
        <v>54500000</v>
      </c>
    </row>
    <row r="26" customFormat="false" ht="15" hidden="false" customHeight="false" outlineLevel="0" collapsed="false">
      <c r="A26" s="4" t="s">
        <v>92</v>
      </c>
      <c r="B26" s="18" t="n">
        <f aca="false">Pressupostos!$C$25*(Pressupostos!$B$26+Pressupostos!$B$27+Pressupostos!$B$28)*(1-(1-Pressupostos!$B$29)^1)/Pressupostos!$B$29</f>
        <v>91800000</v>
      </c>
      <c r="C26" s="18" t="n">
        <f aca="false">Pressupostos!$C$25*(Pressupostos!$B$26+Pressupostos!$B$27+Pressupostos!$B$28)*(1-(1-Pressupostos!$B$29)^2)/Pressupostos!$B$29</f>
        <v>169830000</v>
      </c>
      <c r="D26" s="18" t="n">
        <f aca="false">Pressupostos!$C$25*(Pressupostos!$B$26+Pressupostos!$B$27+Pressupostos!$B$28)*(1-(1-Pressupostos!$B$29)^3)/Pressupostos!$B$29</f>
        <v>236155500</v>
      </c>
      <c r="E26" s="18" t="n">
        <f aca="false">Pressupostos!$C$25*(Pressupostos!$B$26+Pressupostos!$B$27+Pressupostos!$B$28)*(1-(1-Pressupostos!$B$29)^4)/Pressupostos!$B$29</f>
        <v>292532175</v>
      </c>
      <c r="F26" s="18" t="n">
        <f aca="false">Pressupostos!$C$25*(Pressupostos!$B$26+Pressupostos!$B$27+Pressupostos!$B$28)*(1-(1-Pressupostos!$B$29)^5)/Pressupostos!$B$29</f>
        <v>340452348.75</v>
      </c>
    </row>
    <row r="27" customFormat="false" ht="15" hidden="false" customHeight="false" outlineLevel="0" collapsed="false">
      <c r="A27" s="4" t="s">
        <v>93</v>
      </c>
      <c r="B27" s="18" t="n">
        <f aca="false">Pressupostos!$C$30*1*(Pressupostos!$C$31+Pressupostos!$C$32)</f>
        <v>60000000</v>
      </c>
      <c r="C27" s="18" t="n">
        <f aca="false">Pressupostos!$C$30*2*(Pressupostos!$C$31+Pressupostos!$C$32)</f>
        <v>120000000</v>
      </c>
      <c r="D27" s="18" t="n">
        <f aca="false">Pressupostos!$C$30*3*(Pressupostos!$C$31+Pressupostos!$C$32)</f>
        <v>180000000</v>
      </c>
      <c r="E27" s="18" t="n">
        <f aca="false">Pressupostos!$C$30*4*(Pressupostos!$C$31+Pressupostos!$C$32)</f>
        <v>240000000</v>
      </c>
      <c r="F27" s="18" t="n">
        <f aca="false">Pressupostos!$C$30*5*(Pressupostos!$C$31+Pressupostos!$C$32)</f>
        <v>300000000</v>
      </c>
    </row>
    <row r="28" customFormat="false" ht="15" hidden="false" customHeight="false" outlineLevel="0" collapsed="false">
      <c r="A28" s="4" t="s">
        <v>94</v>
      </c>
      <c r="B28" s="18" t="n">
        <f aca="false">BaseCatB!$R$13*Pressupostos!$B$37*Pressupostos!$C$33</f>
        <v>27151081.148376</v>
      </c>
      <c r="C28" s="18" t="n">
        <f aca="false">BaseCatB!$R$13*Pressupostos!$B$38*Pressupostos!$C$33</f>
        <v>38464031.626866</v>
      </c>
      <c r="D28" s="18" t="n">
        <f aca="false">BaseCatB!$R$13*Pressupostos!$B$39*Pressupostos!$C$33</f>
        <v>45251801.91396</v>
      </c>
      <c r="E28" s="18" t="n">
        <f aca="false">BaseCatB!$R$13*Pressupostos!$B$40*Pressupostos!$C$33</f>
        <v>45251801.91396</v>
      </c>
      <c r="F28" s="18" t="n">
        <f aca="false">BaseCatB!$R$13*Pressupostos!$B$41*Pressupostos!$C$33</f>
        <v>45251801.91396</v>
      </c>
    </row>
    <row r="29" customFormat="false" ht="15" hidden="false" customHeight="false" outlineLevel="0" collapsed="false">
      <c r="A29" s="4" t="s">
        <v>95</v>
      </c>
      <c r="B29" s="18" t="n">
        <f aca="false">Pressupostos!$C$34</f>
        <v>8000000</v>
      </c>
      <c r="C29" s="18" t="n">
        <f aca="false">Pressupostos!$C$34</f>
        <v>8000000</v>
      </c>
      <c r="D29" s="18" t="n">
        <f aca="false">Pressupostos!$C$34</f>
        <v>8000000</v>
      </c>
      <c r="E29" s="18" t="n">
        <f aca="false">Pressupostos!$C$34</f>
        <v>8000000</v>
      </c>
      <c r="F29" s="18" t="n">
        <f aca="false">Pressupostos!$C$34</f>
        <v>8000000</v>
      </c>
    </row>
    <row r="30" customFormat="false" ht="15" hidden="false" customHeight="false" outlineLevel="0" collapsed="false">
      <c r="A30" s="4" t="s">
        <v>96</v>
      </c>
      <c r="B30" s="18" t="n">
        <f aca="false">BaseCatB!$O$13*Pressupostos!$B$37*Pressupostos!$C$35</f>
        <v>4467000</v>
      </c>
      <c r="C30" s="18" t="n">
        <f aca="false">BaseCatB!$O$13*Pressupostos!$B$38*Pressupostos!$C$35</f>
        <v>6328250</v>
      </c>
      <c r="D30" s="18" t="n">
        <f aca="false">BaseCatB!$O$13*Pressupostos!$B$39*Pressupostos!$C$35</f>
        <v>7445000</v>
      </c>
      <c r="E30" s="18" t="n">
        <f aca="false">BaseCatB!$O$13*Pressupostos!$B$40*Pressupostos!$C$35</f>
        <v>7445000</v>
      </c>
      <c r="F30" s="18" t="n">
        <f aca="false">BaseCatB!$O$13*Pressupostos!$B$41*Pressupostos!$C$35</f>
        <v>7445000</v>
      </c>
    </row>
    <row r="31" customFormat="false" ht="15" hidden="false" customHeight="false" outlineLevel="0" collapsed="false">
      <c r="A31" s="9" t="s">
        <v>97</v>
      </c>
      <c r="B31" s="19" t="n">
        <f aca="false">SUM(B20:B30)</f>
        <v>-900955.778023992</v>
      </c>
      <c r="C31" s="19" t="n">
        <f aca="false">SUM(C20:C30)</f>
        <v>82886979.314466</v>
      </c>
      <c r="D31" s="19" t="n">
        <f aca="false">SUM(D20:D30)</f>
        <v>185387240.36996</v>
      </c>
      <c r="E31" s="19" t="n">
        <f aca="false">SUM(E20:E30)</f>
        <v>323563915.36996</v>
      </c>
      <c r="F31" s="19" t="n">
        <f aca="false">SUM(F20:F30)</f>
        <v>453284089.11996</v>
      </c>
    </row>
    <row r="34" customFormat="false" ht="15" hidden="false" customHeight="false" outlineLevel="0" collapsed="false">
      <c r="A34" s="3" t="s">
        <v>99</v>
      </c>
      <c r="B34" s="9" t="s">
        <v>38</v>
      </c>
      <c r="C34" s="9" t="s">
        <v>39</v>
      </c>
      <c r="D34" s="9" t="s">
        <v>40</v>
      </c>
      <c r="E34" s="9" t="s">
        <v>41</v>
      </c>
      <c r="F34" s="9" t="s">
        <v>42</v>
      </c>
    </row>
    <row r="35" customFormat="false" ht="15" hidden="false" customHeight="false" outlineLevel="0" collapsed="false">
      <c r="A35" s="4" t="s">
        <v>86</v>
      </c>
      <c r="B35" s="18" t="n">
        <f aca="false">-BaseCatB!$S$13*Pressupostos!$B$37</f>
        <v>-348013208.9256</v>
      </c>
      <c r="C35" s="18" t="n">
        <f aca="false">-BaseCatB!$S$13*Pressupostos!$B$38</f>
        <v>-493018712.6446</v>
      </c>
      <c r="D35" s="18" t="n">
        <f aca="false">-BaseCatB!$S$13*Pressupostos!$B$39</f>
        <v>-580022014.876</v>
      </c>
      <c r="E35" s="18" t="n">
        <f aca="false">-BaseCatB!$S$13*Pressupostos!$B$40</f>
        <v>-580022014.876</v>
      </c>
      <c r="F35" s="18" t="n">
        <f aca="false">-BaseCatB!$S$13*Pressupostos!$B$41</f>
        <v>-580022014.876</v>
      </c>
    </row>
    <row r="36" customFormat="false" ht="15" hidden="false" customHeight="false" outlineLevel="0" collapsed="false">
      <c r="A36" s="4" t="s">
        <v>87</v>
      </c>
      <c r="B36" s="18" t="n">
        <f aca="false">BaseCatB!$P$15*Pressupostos!$B$37*Pressupostos!$D$14*Pressupostos!$B$10</f>
        <v>117552187.5</v>
      </c>
      <c r="C36" s="18" t="n">
        <f aca="false">BaseCatB!$P$15*Pressupostos!$B$38*Pressupostos!$D$14*Pressupostos!$B$10</f>
        <v>166532265.625</v>
      </c>
      <c r="D36" s="18" t="n">
        <f aca="false">BaseCatB!$P$15*Pressupostos!$B$39*Pressupostos!$D$14*Pressupostos!$B$10</f>
        <v>195920312.5</v>
      </c>
      <c r="E36" s="18" t="n">
        <f aca="false">BaseCatB!$P$15*Pressupostos!$B$40*Pressupostos!$D$14*Pressupostos!$B$10</f>
        <v>195920312.5</v>
      </c>
      <c r="F36" s="18" t="n">
        <f aca="false">BaseCatB!$P$15*Pressupostos!$B$41*Pressupostos!$D$14*Pressupostos!$B$10</f>
        <v>195920312.5</v>
      </c>
    </row>
    <row r="37" customFormat="false" ht="15" hidden="false" customHeight="false" outlineLevel="0" collapsed="false">
      <c r="A37" s="4" t="s">
        <v>88</v>
      </c>
      <c r="B37" s="18" t="n">
        <f aca="false">BaseCatB!$P$15*Pressupostos!$B$37*Pressupostos!$D$14*Pressupostos!$B$12</f>
        <v>94041750</v>
      </c>
      <c r="C37" s="18" t="n">
        <f aca="false">BaseCatB!$P$15*Pressupostos!$B$38*Pressupostos!$D$14*Pressupostos!$B$12</f>
        <v>133225812.5</v>
      </c>
      <c r="D37" s="18" t="n">
        <f aca="false">BaseCatB!$P$15*Pressupostos!$B$39*Pressupostos!$D$14*Pressupostos!$B$12</f>
        <v>156736250</v>
      </c>
      <c r="E37" s="18" t="n">
        <f aca="false">BaseCatB!$P$15*Pressupostos!$B$40*Pressupostos!$D$14*Pressupostos!$B$12</f>
        <v>156736250</v>
      </c>
      <c r="F37" s="18" t="n">
        <f aca="false">BaseCatB!$P$15*Pressupostos!$B$41*Pressupostos!$D$14*Pressupostos!$B$12</f>
        <v>156736250</v>
      </c>
    </row>
    <row r="38" customFormat="false" ht="15" hidden="false" customHeight="false" outlineLevel="0" collapsed="false">
      <c r="A38" s="4" t="s">
        <v>89</v>
      </c>
      <c r="B38" s="18" t="n">
        <f aca="false">Pressupostos!$B$15*Pressupostos!$B$16*Pressupostos!$D$17*Pressupostos!$B$37*Pressupostos!$D$18</f>
        <v>23040000</v>
      </c>
      <c r="C38" s="18" t="n">
        <f aca="false">Pressupostos!$B$15*Pressupostos!$B$16*Pressupostos!$D$17*Pressupostos!$B$38*Pressupostos!$D$18</f>
        <v>32640000</v>
      </c>
      <c r="D38" s="18" t="n">
        <f aca="false">Pressupostos!$B$15*Pressupostos!$B$16*Pressupostos!$D$17*Pressupostos!$B$39*Pressupostos!$D$18</f>
        <v>38400000</v>
      </c>
      <c r="E38" s="18" t="n">
        <f aca="false">Pressupostos!$B$15*Pressupostos!$B$16*Pressupostos!$D$17*Pressupostos!$B$40*Pressupostos!$D$18</f>
        <v>38400000</v>
      </c>
      <c r="F38" s="18" t="n">
        <f aca="false">Pressupostos!$B$15*Pressupostos!$B$16*Pressupostos!$D$17*Pressupostos!$B$41*Pressupostos!$D$18</f>
        <v>38400000</v>
      </c>
    </row>
    <row r="39" customFormat="false" ht="15" hidden="false" customHeight="false" outlineLevel="0" collapsed="false">
      <c r="A39" s="4" t="s">
        <v>90</v>
      </c>
      <c r="B39" s="18" t="n">
        <f aca="false">Pressupostos!$B$19*Pressupostos!$D$20*1*(Pressupostos!$B$21+Pressupostos!$B$22+Pressupostos!$B$23)</f>
        <v>21800000</v>
      </c>
      <c r="C39" s="18" t="n">
        <f aca="false">Pressupostos!$B$19*Pressupostos!$D$20*2*(Pressupostos!$B$21+Pressupostos!$B$22+Pressupostos!$B$23)</f>
        <v>43600000</v>
      </c>
      <c r="D39" s="18" t="n">
        <f aca="false">Pressupostos!$B$19*Pressupostos!$D$20*3*(Pressupostos!$B$21+Pressupostos!$B$22+Pressupostos!$B$23)</f>
        <v>65400000</v>
      </c>
      <c r="E39" s="18" t="n">
        <f aca="false">Pressupostos!$B$19*Pressupostos!$D$20*4*(Pressupostos!$B$21+Pressupostos!$B$22+Pressupostos!$B$23)</f>
        <v>87200000</v>
      </c>
      <c r="F39" s="18" t="n">
        <f aca="false">Pressupostos!$B$19*Pressupostos!$D$20*5*(Pressupostos!$B$21+Pressupostos!$B$22+Pressupostos!$B$23)</f>
        <v>109000000</v>
      </c>
    </row>
    <row r="40" customFormat="false" ht="15" hidden="false" customHeight="false" outlineLevel="0" collapsed="false">
      <c r="A40" s="4" t="s">
        <v>91</v>
      </c>
      <c r="B40" s="18" t="n">
        <f aca="false">Pressupostos!$D$24*1*(Pressupostos!$B$21+Pressupostos!$B$22+Pressupostos!$B$23)</f>
        <v>21800000</v>
      </c>
      <c r="C40" s="18" t="n">
        <f aca="false">Pressupostos!$D$24*2*(Pressupostos!$B$21+Pressupostos!$B$22+Pressupostos!$B$23)</f>
        <v>43600000</v>
      </c>
      <c r="D40" s="18" t="n">
        <f aca="false">Pressupostos!$D$24*3*(Pressupostos!$B$21+Pressupostos!$B$22+Pressupostos!$B$23)</f>
        <v>65400000</v>
      </c>
      <c r="E40" s="18" t="n">
        <f aca="false">Pressupostos!$D$24*4*(Pressupostos!$B$21+Pressupostos!$B$22+Pressupostos!$B$23)</f>
        <v>87200000</v>
      </c>
      <c r="F40" s="18" t="n">
        <f aca="false">Pressupostos!$D$24*5*(Pressupostos!$B$21+Pressupostos!$B$22+Pressupostos!$B$23)</f>
        <v>109000000</v>
      </c>
    </row>
    <row r="41" customFormat="false" ht="15" hidden="false" customHeight="false" outlineLevel="0" collapsed="false">
      <c r="A41" s="4" t="s">
        <v>92</v>
      </c>
      <c r="B41" s="18" t="n">
        <f aca="false">Pressupostos!$D$25*(Pressupostos!$B$26+Pressupostos!$B$27+Pressupostos!$B$28)*(1-(1-Pressupostos!$B$29)^1)/Pressupostos!$B$29</f>
        <v>229500000</v>
      </c>
      <c r="C41" s="18" t="n">
        <f aca="false">Pressupostos!$D$25*(Pressupostos!$B$26+Pressupostos!$B$27+Pressupostos!$B$28)*(1-(1-Pressupostos!$B$29)^2)/Pressupostos!$B$29</f>
        <v>424575000</v>
      </c>
      <c r="D41" s="18" t="n">
        <f aca="false">Pressupostos!$D$25*(Pressupostos!$B$26+Pressupostos!$B$27+Pressupostos!$B$28)*(1-(1-Pressupostos!$B$29)^3)/Pressupostos!$B$29</f>
        <v>590388750</v>
      </c>
      <c r="E41" s="18" t="n">
        <f aca="false">Pressupostos!$D$25*(Pressupostos!$B$26+Pressupostos!$B$27+Pressupostos!$B$28)*(1-(1-Pressupostos!$B$29)^4)/Pressupostos!$B$29</f>
        <v>731330437.5</v>
      </c>
      <c r="F41" s="18" t="n">
        <f aca="false">Pressupostos!$D$25*(Pressupostos!$B$26+Pressupostos!$B$27+Pressupostos!$B$28)*(1-(1-Pressupostos!$B$29)^5)/Pressupostos!$B$29</f>
        <v>851130871.875</v>
      </c>
    </row>
    <row r="42" customFormat="false" ht="15" hidden="false" customHeight="false" outlineLevel="0" collapsed="false">
      <c r="A42" s="4" t="s">
        <v>93</v>
      </c>
      <c r="B42" s="18" t="n">
        <f aca="false">Pressupostos!$D$30*1*(Pressupostos!$D$31+Pressupostos!$D$32)</f>
        <v>175200000</v>
      </c>
      <c r="C42" s="18" t="n">
        <f aca="false">Pressupostos!$D$30*2*(Pressupostos!$D$31+Pressupostos!$D$32)</f>
        <v>350400000</v>
      </c>
      <c r="D42" s="18" t="n">
        <f aca="false">Pressupostos!$D$30*3*(Pressupostos!$D$31+Pressupostos!$D$32)</f>
        <v>525600000</v>
      </c>
      <c r="E42" s="18" t="n">
        <f aca="false">Pressupostos!$D$30*4*(Pressupostos!$D$31+Pressupostos!$D$32)</f>
        <v>700800000</v>
      </c>
      <c r="F42" s="18" t="n">
        <f aca="false">Pressupostos!$D$30*5*(Pressupostos!$D$31+Pressupostos!$D$32)</f>
        <v>876000000</v>
      </c>
    </row>
    <row r="43" customFormat="false" ht="15" hidden="false" customHeight="false" outlineLevel="0" collapsed="false">
      <c r="A43" s="4" t="s">
        <v>94</v>
      </c>
      <c r="B43" s="18" t="n">
        <f aca="false">BaseCatB!$S$13*Pressupostos!$B$37*Pressupostos!$D$33</f>
        <v>41761585.071072</v>
      </c>
      <c r="C43" s="18" t="n">
        <f aca="false">BaseCatB!$S$13*Pressupostos!$B$38*Pressupostos!$D$33</f>
        <v>59162245.517352</v>
      </c>
      <c r="D43" s="18" t="n">
        <f aca="false">BaseCatB!$S$13*Pressupostos!$B$39*Pressupostos!$D$33</f>
        <v>69602641.78512</v>
      </c>
      <c r="E43" s="18" t="n">
        <f aca="false">BaseCatB!$S$13*Pressupostos!$B$40*Pressupostos!$D$33</f>
        <v>69602641.78512</v>
      </c>
      <c r="F43" s="18" t="n">
        <f aca="false">BaseCatB!$S$13*Pressupostos!$B$41*Pressupostos!$D$33</f>
        <v>69602641.78512</v>
      </c>
    </row>
    <row r="44" customFormat="false" ht="15" hidden="false" customHeight="false" outlineLevel="0" collapsed="false">
      <c r="A44" s="4" t="s">
        <v>95</v>
      </c>
      <c r="B44" s="18" t="n">
        <f aca="false">Pressupostos!$D$34</f>
        <v>12000000</v>
      </c>
      <c r="C44" s="18" t="n">
        <f aca="false">Pressupostos!$D$34</f>
        <v>12000000</v>
      </c>
      <c r="D44" s="18" t="n">
        <f aca="false">Pressupostos!$D$34</f>
        <v>12000000</v>
      </c>
      <c r="E44" s="18" t="n">
        <f aca="false">Pressupostos!$D$34</f>
        <v>12000000</v>
      </c>
      <c r="F44" s="18" t="n">
        <f aca="false">Pressupostos!$D$34</f>
        <v>12000000</v>
      </c>
    </row>
    <row r="45" customFormat="false" ht="15" hidden="false" customHeight="false" outlineLevel="0" collapsed="false">
      <c r="A45" s="4" t="s">
        <v>96</v>
      </c>
      <c r="B45" s="18" t="n">
        <f aca="false">BaseCatB!$P$13*Pressupostos!$B$37*Pressupostos!$D$35</f>
        <v>10593000</v>
      </c>
      <c r="C45" s="18" t="n">
        <f aca="false">BaseCatB!$P$13*Pressupostos!$B$38*Pressupostos!$D$35</f>
        <v>15006750</v>
      </c>
      <c r="D45" s="18" t="n">
        <f aca="false">BaseCatB!$P$13*Pressupostos!$B$39*Pressupostos!$D$35</f>
        <v>17655000</v>
      </c>
      <c r="E45" s="18" t="n">
        <f aca="false">BaseCatB!$P$13*Pressupostos!$B$40*Pressupostos!$D$35</f>
        <v>17655000</v>
      </c>
      <c r="F45" s="18" t="n">
        <f aca="false">BaseCatB!$P$13*Pressupostos!$B$41*Pressupostos!$D$35</f>
        <v>17655000</v>
      </c>
    </row>
    <row r="46" customFormat="false" ht="15" hidden="false" customHeight="false" outlineLevel="0" collapsed="false">
      <c r="A46" s="9" t="s">
        <v>97</v>
      </c>
      <c r="B46" s="19" t="n">
        <f aca="false">SUM(B35:B45)</f>
        <v>399275313.645472</v>
      </c>
      <c r="C46" s="19" t="n">
        <f aca="false">SUM(C35:C45)</f>
        <v>787723360.997752</v>
      </c>
      <c r="D46" s="19" t="n">
        <f aca="false">SUM(D35:D45)</f>
        <v>1157080939.40912</v>
      </c>
      <c r="E46" s="19" t="n">
        <f aca="false">SUM(E35:E45)</f>
        <v>1516822626.90912</v>
      </c>
      <c r="F46" s="19" t="n">
        <f aca="false">SUM(F35:F45)</f>
        <v>1855423061.28412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3"/>
  </cols>
  <sheetData>
    <row r="1" customFormat="false" ht="17.35" hidden="false" customHeight="false" outlineLevel="0" collapsed="false">
      <c r="A1" s="1" t="s">
        <v>100</v>
      </c>
    </row>
    <row r="2" customFormat="false" ht="15" hidden="false" customHeight="false" outlineLevel="0" collapsed="false">
      <c r="A2" s="2" t="s">
        <v>101</v>
      </c>
    </row>
    <row r="4" customFormat="false" ht="15" hidden="false" customHeight="false" outlineLevel="0" collapsed="false">
      <c r="A4" s="9" t="s">
        <v>102</v>
      </c>
      <c r="B4" s="9" t="s">
        <v>38</v>
      </c>
      <c r="C4" s="9" t="s">
        <v>39</v>
      </c>
      <c r="D4" s="9" t="s">
        <v>40</v>
      </c>
      <c r="E4" s="9" t="s">
        <v>41</v>
      </c>
      <c r="F4" s="9" t="s">
        <v>42</v>
      </c>
    </row>
    <row r="5" customFormat="false" ht="15" hidden="false" customHeight="false" outlineLevel="0" collapsed="false">
      <c r="A5" s="17" t="s">
        <v>12</v>
      </c>
      <c r="B5" s="18" t="n">
        <f aca="false">Modelo!B16</f>
        <v>-126772886.56446</v>
      </c>
      <c r="C5" s="18" t="n">
        <f aca="false">Modelo!C16</f>
        <v>-153362422.632985</v>
      </c>
      <c r="D5" s="18" t="n">
        <f aca="false">Modelo!D16</f>
        <v>-152489644.2741</v>
      </c>
      <c r="E5" s="18" t="n">
        <f aca="false">Modelo!E16</f>
        <v>-107887419.2741</v>
      </c>
      <c r="F5" s="18" t="n">
        <f aca="false">Modelo!F16</f>
        <v>-66104028.0241</v>
      </c>
    </row>
    <row r="6" customFormat="false" ht="15" hidden="false" customHeight="false" outlineLevel="0" collapsed="false">
      <c r="A6" s="17" t="s">
        <v>13</v>
      </c>
      <c r="B6" s="18" t="n">
        <f aca="false">Modelo!B31</f>
        <v>-900955.778023992</v>
      </c>
      <c r="C6" s="18" t="n">
        <f aca="false">Modelo!C31</f>
        <v>82886979.314466</v>
      </c>
      <c r="D6" s="18" t="n">
        <f aca="false">Modelo!D31</f>
        <v>185387240.36996</v>
      </c>
      <c r="E6" s="18" t="n">
        <f aca="false">Modelo!E31</f>
        <v>323563915.36996</v>
      </c>
      <c r="F6" s="18" t="n">
        <f aca="false">Modelo!F31</f>
        <v>453284089.11996</v>
      </c>
    </row>
    <row r="7" customFormat="false" ht="15" hidden="false" customHeight="false" outlineLevel="0" collapsed="false">
      <c r="A7" s="17" t="s">
        <v>14</v>
      </c>
      <c r="B7" s="18" t="n">
        <f aca="false">Modelo!B46</f>
        <v>399275313.645472</v>
      </c>
      <c r="C7" s="18" t="n">
        <f aca="false">Modelo!C46</f>
        <v>787723360.997752</v>
      </c>
      <c r="D7" s="18" t="n">
        <f aca="false">Modelo!D46</f>
        <v>1157080939.40912</v>
      </c>
      <c r="E7" s="18" t="n">
        <f aca="false">Modelo!E46</f>
        <v>1516822626.90912</v>
      </c>
      <c r="F7" s="18" t="n">
        <f aca="false">Modelo!F46</f>
        <v>1855423061.28412</v>
      </c>
    </row>
    <row r="9" customFormat="false" ht="15" hidden="false" customHeight="false" outlineLevel="0" collapsed="false">
      <c r="A9" s="3" t="s">
        <v>103</v>
      </c>
    </row>
    <row r="10" customFormat="false" ht="15" hidden="false" customHeight="false" outlineLevel="0" collapsed="false">
      <c r="A10" s="4" t="s">
        <v>104</v>
      </c>
      <c r="B10" s="13" t="n">
        <f aca="false">BaseCatB!$R$13/(Pressupostos!$B$43*1000000)</f>
        <v>0.0257911156216466</v>
      </c>
    </row>
    <row r="11" customFormat="false" ht="15" hidden="false" customHeight="false" outlineLevel="0" collapsed="false">
      <c r="A11" s="4" t="s">
        <v>105</v>
      </c>
      <c r="B11" s="18" t="n">
        <f aca="false">Pressupostos!$B$44*1000000</f>
        <v>1700000000</v>
      </c>
    </row>
    <row r="12" customFormat="false" ht="15" hidden="false" customHeight="false" outlineLevel="0" collapsed="false">
      <c r="A12" s="4" t="s">
        <v>106</v>
      </c>
      <c r="B12" s="13" t="n">
        <f aca="false">-MIN(B5:F5)/(Pressupostos!$B$44*1000000)</f>
        <v>0.0902131897841088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5"/>
  </cols>
  <sheetData>
    <row r="1" customFormat="false" ht="17.35" hidden="false" customHeight="false" outlineLevel="0" collapsed="false">
      <c r="A1" s="1" t="s">
        <v>107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4"/>
    </row>
    <row r="4" customFormat="false" ht="15" hidden="false" customHeight="false" outlineLevel="0" collapsed="false">
      <c r="A4" s="17" t="s">
        <v>108</v>
      </c>
    </row>
    <row r="5" customFormat="false" ht="15" hidden="false" customHeight="false" outlineLevel="0" collapsed="false">
      <c r="A5" s="4" t="s">
        <v>109</v>
      </c>
    </row>
    <row r="6" customFormat="false" ht="15" hidden="false" customHeight="false" outlineLevel="0" collapsed="false">
      <c r="A6" s="17" t="s">
        <v>110</v>
      </c>
    </row>
    <row r="7" customFormat="false" ht="15" hidden="false" customHeight="false" outlineLevel="0" collapsed="false">
      <c r="A7" s="4"/>
    </row>
    <row r="8" customFormat="false" ht="15" hidden="false" customHeight="false" outlineLevel="0" collapsed="false">
      <c r="A8" s="17" t="s">
        <v>111</v>
      </c>
    </row>
    <row r="9" customFormat="false" ht="15" hidden="false" customHeight="false" outlineLevel="0" collapsed="false">
      <c r="A9" s="4" t="s">
        <v>112</v>
      </c>
    </row>
    <row r="10" customFormat="false" ht="15" hidden="false" customHeight="false" outlineLevel="0" collapsed="false">
      <c r="A10" s="4" t="s">
        <v>113</v>
      </c>
    </row>
    <row r="11" customFormat="false" ht="15" hidden="false" customHeight="false" outlineLevel="0" collapsed="false">
      <c r="A11" s="4" t="s">
        <v>114</v>
      </c>
    </row>
    <row r="12" customFormat="false" ht="15" hidden="false" customHeight="false" outlineLevel="0" collapsed="false">
      <c r="A12" s="17" t="s">
        <v>115</v>
      </c>
    </row>
    <row r="13" customFormat="false" ht="15" hidden="false" customHeight="false" outlineLevel="0" collapsed="false">
      <c r="A13" s="17" t="s">
        <v>116</v>
      </c>
    </row>
    <row r="14" customFormat="false" ht="15" hidden="false" customHeight="false" outlineLevel="0" collapsed="false">
      <c r="A14" s="4"/>
    </row>
    <row r="15" customFormat="false" ht="15" hidden="false" customHeight="false" outlineLevel="0" collapsed="false">
      <c r="A15" s="17" t="s">
        <v>117</v>
      </c>
    </row>
    <row r="16" customFormat="false" ht="15" hidden="false" customHeight="false" outlineLevel="0" collapsed="false">
      <c r="A16" s="4" t="s">
        <v>118</v>
      </c>
    </row>
    <row r="17" customFormat="false" ht="15" hidden="false" customHeight="false" outlineLevel="0" collapsed="false">
      <c r="A17" s="4" t="s">
        <v>119</v>
      </c>
    </row>
    <row r="18" customFormat="false" ht="15" hidden="false" customHeight="false" outlineLevel="0" collapsed="false">
      <c r="A18" s="4"/>
    </row>
    <row r="19" customFormat="false" ht="15" hidden="false" customHeight="false" outlineLevel="0" collapsed="false">
      <c r="A19" s="17" t="s">
        <v>120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2026-07-15T09:33:15Z</dcterms:created>
  <dc:creator>openpyxl</dc:creator>
  <dc:description/>
  <dc:language>en-US</dc:language>
  <cp:lastModifiedBy/>
  <dcterms:modified xsi:type="dcterms:W3CDTF">2026-07-15T09:33:15Z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